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xl/charts/style2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145"/>
  </bookViews>
  <sheets>
    <sheet name="T1 programmazione nazionale  " sheetId="3" r:id="rId1"/>
    <sheet name="T2a programmazione europea v" sheetId="7" r:id="rId2"/>
    <sheet name="T2b programmazione europea A" sheetId="8" r:id="rId3"/>
    <sheet name="T3 Risultati Totali " sheetId="5" r:id="rId4"/>
    <sheet name="T4 risultati regionali" sheetId="4" r:id="rId5"/>
    <sheet name="T5 risultati europei" sheetId="9" r:id="rId6"/>
    <sheet name="T6 risultati all'import" sheetId="10" r:id="rId7"/>
    <sheet name="T7 e Graf.8" sheetId="11" r:id="rId8"/>
    <sheet name="Graf. 9" sheetId="12" r:id="rId9"/>
  </sheets>
  <definedNames>
    <definedName name="_xlnm._FilterDatabase" localSheetId="3" hidden="1">'T3 Risultati Totali '!#REF!</definedName>
    <definedName name="_xlnm._FilterDatabase" localSheetId="5" hidden="1">'T5 risultati europei'!$A$5:$J$65</definedName>
    <definedName name="_xlnm._FilterDatabase" localSheetId="6" hidden="1">'T6 risultati all''import'!#REF!</definedName>
    <definedName name="_xlnm.Print_Area" localSheetId="8">'Graf. 9'!$A$1:$P$36</definedName>
    <definedName name="_xlnm.Print_Area" localSheetId="0">'T1 programmazione nazionale  '!$A$1:$K$57</definedName>
    <definedName name="_xlnm.Print_Area" localSheetId="1">'T2a programmazione europea v'!$A$1:$N$33</definedName>
    <definedName name="_xlnm.Print_Area" localSheetId="2">'T2b programmazione europea A'!$A$1:$M$33</definedName>
    <definedName name="_xlnm.Print_Area" localSheetId="3">'T3 Risultati Totali '!$A$1:$J$42</definedName>
    <definedName name="_xlnm.Print_Area" localSheetId="4">'T4 risultati regionali'!$A$1:$O$73</definedName>
    <definedName name="_xlnm.Print_Area" localSheetId="5">'T5 risultati europei'!$A$1:$H$69</definedName>
    <definedName name="_xlnm.Print_Area" localSheetId="6">'T6 risultati all''import'!$A$1:$J$21</definedName>
    <definedName name="_xlnm.Print_Area" localSheetId="7">'T7 e Graf.8'!$A$1:$K$57</definedName>
    <definedName name="OLE_LINK1" localSheetId="1">'T2a programmazione europea v'!$B$7</definedName>
    <definedName name="_xlnm.Print_Titles" localSheetId="0">'T1 programmazione nazionale  '!$1:$3</definedName>
    <definedName name="_xlnm.Print_Titles" localSheetId="3">'T3 Risultati Totali '!$1:$3</definedName>
    <definedName name="_xlnm.Print_Titles" localSheetId="5">'T5 risultati europei'!$1:$3</definedName>
    <definedName name="_xlnm.Print_Titles" localSheetId="6">'T6 risultati all''import'!$1:$3</definedName>
    <definedName name="_xlnm.Print_Titles" localSheetId="7">'T7 e Graf.8'!$1:$2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0"/>
  <c r="S22"/>
  <c r="Q22"/>
  <c r="P21"/>
  <c r="P20"/>
  <c r="P19"/>
  <c r="P18"/>
  <c r="P17"/>
  <c r="P16"/>
  <c r="P15"/>
  <c r="P22" s="1"/>
  <c r="K15"/>
  <c r="H15"/>
  <c r="I15" s="1"/>
  <c r="G15"/>
  <c r="L15" s="1"/>
  <c r="F15"/>
  <c r="D15"/>
  <c r="K16" s="1"/>
  <c r="C15"/>
  <c r="K14"/>
  <c r="I14"/>
  <c r="G14"/>
  <c r="E14"/>
  <c r="L14" s="1"/>
  <c r="P13"/>
  <c r="L13"/>
  <c r="K13"/>
  <c r="P12"/>
  <c r="K12"/>
  <c r="I12"/>
  <c r="G12"/>
  <c r="E12"/>
  <c r="L12" s="1"/>
  <c r="P11"/>
  <c r="K11"/>
  <c r="I11"/>
  <c r="G11"/>
  <c r="E11"/>
  <c r="L11" s="1"/>
  <c r="P10"/>
  <c r="K10"/>
  <c r="I10"/>
  <c r="G10"/>
  <c r="E10"/>
  <c r="L10" s="1"/>
  <c r="K9"/>
  <c r="I9"/>
  <c r="G9"/>
  <c r="E9"/>
  <c r="L9" s="1"/>
  <c r="I65" i="9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J21" s="1"/>
  <c r="I9"/>
  <c r="J8"/>
  <c r="I8"/>
  <c r="M32" i="4"/>
  <c r="J32"/>
  <c r="I32"/>
  <c r="G32"/>
  <c r="F32"/>
  <c r="L32" s="1"/>
  <c r="E32"/>
  <c r="K32" s="1"/>
  <c r="D32"/>
  <c r="H32" s="1"/>
  <c r="N32" s="1"/>
  <c r="C32"/>
  <c r="N31"/>
  <c r="M31"/>
  <c r="L31"/>
  <c r="K31"/>
  <c r="J31"/>
  <c r="I31"/>
  <c r="H31"/>
  <c r="M30"/>
  <c r="L30"/>
  <c r="K30"/>
  <c r="J30"/>
  <c r="I30"/>
  <c r="H30"/>
  <c r="N30" s="1"/>
  <c r="M29"/>
  <c r="L29"/>
  <c r="K29"/>
  <c r="J29"/>
  <c r="I29"/>
  <c r="H29"/>
  <c r="N29" s="1"/>
  <c r="N28"/>
  <c r="M28"/>
  <c r="L28"/>
  <c r="K28"/>
  <c r="J28"/>
  <c r="I28"/>
  <c r="H28"/>
  <c r="N27"/>
  <c r="M27"/>
  <c r="L27"/>
  <c r="K27"/>
  <c r="J27"/>
  <c r="I27"/>
  <c r="H27"/>
  <c r="M26"/>
  <c r="L26"/>
  <c r="K26"/>
  <c r="J26"/>
  <c r="I26"/>
  <c r="H26"/>
  <c r="N26" s="1"/>
  <c r="M25"/>
  <c r="L25"/>
  <c r="K25"/>
  <c r="J25"/>
  <c r="I25"/>
  <c r="H25"/>
  <c r="N25" s="1"/>
  <c r="N24"/>
  <c r="M24"/>
  <c r="L24"/>
  <c r="K24"/>
  <c r="J24"/>
  <c r="I24"/>
  <c r="H24"/>
  <c r="N23"/>
  <c r="M23"/>
  <c r="L23"/>
  <c r="K23"/>
  <c r="J23"/>
  <c r="I23"/>
  <c r="H23"/>
  <c r="M22"/>
  <c r="L22"/>
  <c r="K22"/>
  <c r="J22"/>
  <c r="I22"/>
  <c r="H22"/>
  <c r="N22" s="1"/>
  <c r="M21"/>
  <c r="L21"/>
  <c r="K21"/>
  <c r="J21"/>
  <c r="I21"/>
  <c r="H21"/>
  <c r="N21" s="1"/>
  <c r="N20"/>
  <c r="M20"/>
  <c r="L20"/>
  <c r="K20"/>
  <c r="J20"/>
  <c r="I20"/>
  <c r="H20"/>
  <c r="N19"/>
  <c r="M19"/>
  <c r="L19"/>
  <c r="K19"/>
  <c r="J19"/>
  <c r="I19"/>
  <c r="H19"/>
  <c r="M18"/>
  <c r="L18"/>
  <c r="K18"/>
  <c r="J18"/>
  <c r="I18"/>
  <c r="H18"/>
  <c r="N18" s="1"/>
  <c r="M17"/>
  <c r="L17"/>
  <c r="K17"/>
  <c r="J17"/>
  <c r="I17"/>
  <c r="H17"/>
  <c r="N17" s="1"/>
  <c r="N16"/>
  <c r="M16"/>
  <c r="L16"/>
  <c r="K16"/>
  <c r="J16"/>
  <c r="I16"/>
  <c r="H16"/>
  <c r="N15"/>
  <c r="M15"/>
  <c r="L15"/>
  <c r="K15"/>
  <c r="J15"/>
  <c r="I15"/>
  <c r="H15"/>
  <c r="M14"/>
  <c r="L14"/>
  <c r="K14"/>
  <c r="J14"/>
  <c r="I14"/>
  <c r="H14"/>
  <c r="N14" s="1"/>
  <c r="M13"/>
  <c r="L13"/>
  <c r="K13"/>
  <c r="J13"/>
  <c r="I13"/>
  <c r="H13"/>
  <c r="N13" s="1"/>
  <c r="N12"/>
  <c r="M12"/>
  <c r="L12"/>
  <c r="K12"/>
  <c r="J12"/>
  <c r="I12"/>
  <c r="H12"/>
  <c r="N11"/>
  <c r="M11"/>
  <c r="L11"/>
  <c r="K11"/>
  <c r="J11"/>
  <c r="I11"/>
  <c r="H11"/>
  <c r="U32" i="5"/>
  <c r="S32"/>
  <c r="Q32"/>
  <c r="R31"/>
  <c r="P31"/>
  <c r="T31" s="1"/>
  <c r="R30"/>
  <c r="P30"/>
  <c r="T30" s="1"/>
  <c r="R29"/>
  <c r="P29"/>
  <c r="T29" s="1"/>
  <c r="R28"/>
  <c r="P28"/>
  <c r="T28" s="1"/>
  <c r="R27"/>
  <c r="P27"/>
  <c r="T27" s="1"/>
  <c r="R26"/>
  <c r="P26"/>
  <c r="T26" s="1"/>
  <c r="R25"/>
  <c r="P25"/>
  <c r="T25" s="1"/>
  <c r="R24"/>
  <c r="P24"/>
  <c r="T24" s="1"/>
  <c r="R23"/>
  <c r="P23"/>
  <c r="T23" s="1"/>
  <c r="R22"/>
  <c r="P22"/>
  <c r="T22" s="1"/>
  <c r="R21"/>
  <c r="P21"/>
  <c r="T21" s="1"/>
  <c r="R20"/>
  <c r="P20"/>
  <c r="T20" s="1"/>
  <c r="R19"/>
  <c r="P19"/>
  <c r="T19" s="1"/>
  <c r="R18"/>
  <c r="P18"/>
  <c r="T18" s="1"/>
  <c r="R17"/>
  <c r="P17"/>
  <c r="T17" s="1"/>
  <c r="U16"/>
  <c r="S16"/>
  <c r="Q16"/>
  <c r="P16"/>
  <c r="V16" s="1"/>
  <c r="H16"/>
  <c r="F16"/>
  <c r="D16"/>
  <c r="G15"/>
  <c r="E15"/>
  <c r="C15"/>
  <c r="I15" s="1"/>
  <c r="T14"/>
  <c r="R14"/>
  <c r="P14"/>
  <c r="V14" s="1"/>
  <c r="G14"/>
  <c r="E14"/>
  <c r="C14"/>
  <c r="I14" s="1"/>
  <c r="T13"/>
  <c r="R13"/>
  <c r="P13"/>
  <c r="V13" s="1"/>
  <c r="G13"/>
  <c r="E13"/>
  <c r="C13"/>
  <c r="I13" s="1"/>
  <c r="T12"/>
  <c r="R12"/>
  <c r="P12"/>
  <c r="V12" s="1"/>
  <c r="G12"/>
  <c r="E12"/>
  <c r="C12"/>
  <c r="I12" s="1"/>
  <c r="T11"/>
  <c r="R11"/>
  <c r="P11"/>
  <c r="V11" s="1"/>
  <c r="G11"/>
  <c r="E11"/>
  <c r="C11"/>
  <c r="I11" s="1"/>
  <c r="T10"/>
  <c r="R10"/>
  <c r="P10"/>
  <c r="V10" s="1"/>
  <c r="G10"/>
  <c r="E10"/>
  <c r="C10"/>
  <c r="I10" s="1"/>
  <c r="T9"/>
  <c r="R9"/>
  <c r="P9"/>
  <c r="V9" s="1"/>
  <c r="G9"/>
  <c r="E9"/>
  <c r="C9"/>
  <c r="I9" s="1"/>
  <c r="H28" i="8"/>
  <c r="G28"/>
  <c r="M29" i="7"/>
  <c r="L29"/>
  <c r="K29"/>
  <c r="J29"/>
  <c r="I29"/>
  <c r="H29"/>
  <c r="G29"/>
  <c r="F29"/>
  <c r="E29"/>
  <c r="D29"/>
  <c r="C29"/>
  <c r="F56" i="3"/>
  <c r="E56"/>
  <c r="I55"/>
  <c r="H55"/>
  <c r="G55"/>
  <c r="J55" s="1"/>
  <c r="J51"/>
  <c r="I48"/>
  <c r="H48"/>
  <c r="G48"/>
  <c r="J48" s="1"/>
  <c r="I45"/>
  <c r="J45" s="1"/>
  <c r="I43"/>
  <c r="H43"/>
  <c r="G43"/>
  <c r="J43" s="1"/>
  <c r="I42"/>
  <c r="H42"/>
  <c r="G42"/>
  <c r="J42" s="1"/>
  <c r="I41"/>
  <c r="H41"/>
  <c r="G41"/>
  <c r="J41" s="1"/>
  <c r="I38"/>
  <c r="H38"/>
  <c r="G38"/>
  <c r="J38" s="1"/>
  <c r="J35"/>
  <c r="I34"/>
  <c r="G34"/>
  <c r="J34" s="1"/>
  <c r="I32"/>
  <c r="H32"/>
  <c r="G32"/>
  <c r="J32" s="1"/>
  <c r="J29"/>
  <c r="I29"/>
  <c r="G29"/>
  <c r="J26"/>
  <c r="I26"/>
  <c r="H26"/>
  <c r="G26"/>
  <c r="J24"/>
  <c r="I24"/>
  <c r="H24"/>
  <c r="G24"/>
  <c r="J22"/>
  <c r="I22"/>
  <c r="H22"/>
  <c r="G22"/>
  <c r="J20"/>
  <c r="I20"/>
  <c r="G20"/>
  <c r="I14"/>
  <c r="I56" s="1"/>
  <c r="H14"/>
  <c r="H56" s="1"/>
  <c r="G14"/>
  <c r="J14" s="1"/>
  <c r="J13"/>
  <c r="J10"/>
  <c r="I8"/>
  <c r="H8"/>
  <c r="G8"/>
  <c r="J8" s="1"/>
  <c r="I7"/>
  <c r="H7"/>
  <c r="G7"/>
  <c r="G56" s="1"/>
  <c r="F7"/>
  <c r="J7" s="1"/>
  <c r="E7"/>
  <c r="J56" l="1"/>
  <c r="C16" i="5"/>
  <c r="R16"/>
  <c r="V17"/>
  <c r="V19"/>
  <c r="V21"/>
  <c r="V23"/>
  <c r="V27"/>
  <c r="T16"/>
  <c r="P32"/>
  <c r="T32" s="1"/>
  <c r="V18"/>
  <c r="V20"/>
  <c r="V22"/>
  <c r="V24"/>
  <c r="V25"/>
  <c r="V26"/>
  <c r="V28"/>
  <c r="V29"/>
  <c r="V30"/>
  <c r="V31"/>
  <c r="R32" l="1"/>
  <c r="V32"/>
  <c r="G16"/>
  <c r="E16"/>
</calcChain>
</file>

<file path=xl/sharedStrings.xml><?xml version="1.0" encoding="utf-8"?>
<sst xmlns="http://schemas.openxmlformats.org/spreadsheetml/2006/main" count="476" uniqueCount="283">
  <si>
    <t>Prodotti alimentari</t>
  </si>
  <si>
    <t>Totale campioni</t>
  </si>
  <si>
    <t>Campioni regolari</t>
  </si>
  <si>
    <t>Campioni con residui superiori al limite di legge (LMR)</t>
  </si>
  <si>
    <t>Campioni con residui superiori al limite di legge                            (%)</t>
  </si>
  <si>
    <t xml:space="preserve">Campioni con residui assenti  </t>
  </si>
  <si>
    <t>Campioni con residui assenti                                    (%)</t>
  </si>
  <si>
    <t>Campioni con residui inferiori al limite di legge (LMR)</t>
  </si>
  <si>
    <t>Campioni con residui inferiori al limite di legge                     (%)</t>
  </si>
  <si>
    <t>Frutta</t>
  </si>
  <si>
    <t>Ortaggi</t>
  </si>
  <si>
    <t>Cereali*</t>
  </si>
  <si>
    <t>Olio</t>
  </si>
  <si>
    <t>Vino</t>
  </si>
  <si>
    <t>Baby  food</t>
  </si>
  <si>
    <t>Altri prodotti **</t>
  </si>
  <si>
    <t>Totale</t>
  </si>
  <si>
    <t>categ_prod</t>
  </si>
  <si>
    <t>Tot</t>
  </si>
  <si>
    <t>regolare senza residui</t>
  </si>
  <si>
    <t>regolare con residui</t>
  </si>
  <si>
    <t>irregolare</t>
  </si>
  <si>
    <t>cereali</t>
  </si>
  <si>
    <t>frutta</t>
  </si>
  <si>
    <t>miele_altro</t>
  </si>
  <si>
    <t>olio</t>
  </si>
  <si>
    <t>ortaggi</t>
  </si>
  <si>
    <t>piante_da_zucchero_altro</t>
  </si>
  <si>
    <t>semi_frutti_oleaginosi_altro</t>
  </si>
  <si>
    <t>spezie_altro</t>
  </si>
  <si>
    <t>vino</t>
  </si>
  <si>
    <t>REGIONE</t>
  </si>
  <si>
    <t>(ARPA/Laboratori delle AASSLL/IZS)  Laboratori che hanno inviato i dati</t>
  </si>
  <si>
    <t>CAMPIONI ATTESI</t>
  </si>
  <si>
    <t>Cereali</t>
  </si>
  <si>
    <t>TOTALE</t>
  </si>
  <si>
    <t xml:space="preserve">Abruzzo </t>
  </si>
  <si>
    <t>Istituto Zooprofilattico Sperimentale dell'Abruzzo e del Molise</t>
  </si>
  <si>
    <t>Basilicata</t>
  </si>
  <si>
    <t xml:space="preserve">Istituto Zooprofilattico Sperimentale della Puglia e della Basilicata </t>
  </si>
  <si>
    <t xml:space="preserve">Istituto Zooprofilattico Sperimentale dell'Abruzzo e del Molise 
</t>
  </si>
  <si>
    <t>Bolzano (P.A.)</t>
  </si>
  <si>
    <t>IZS delle Venezie</t>
  </si>
  <si>
    <t>Appa Bolzano</t>
  </si>
  <si>
    <t>Calabria</t>
  </si>
  <si>
    <t>Istituto Zooprofilattico Sperimentale del Mezzogiorno  ( Istituto Zooprofilattico Sperimentale dell'Abruzzo e del Molise)</t>
  </si>
  <si>
    <t>Campania</t>
  </si>
  <si>
    <t>Arpac Campania - Napoli</t>
  </si>
  <si>
    <t>Istituto Zooprofilattico Sperimentale del Mezzogiorno</t>
  </si>
  <si>
    <t>Emilia Romagna</t>
  </si>
  <si>
    <t>Arpa Emilia Romagna - Ferrara</t>
  </si>
  <si>
    <t xml:space="preserve">Istituto Zooprofilattico Sperimentale della Lombardia e dell'Emilia Romagna </t>
  </si>
  <si>
    <t>Friuli Venezia Giulia</t>
  </si>
  <si>
    <t xml:space="preserve">Istituto Zooprofilattico Sperimentale delle Venezie </t>
  </si>
  <si>
    <t>Lazio</t>
  </si>
  <si>
    <t>Arpa Lazio - Latina</t>
  </si>
  <si>
    <t xml:space="preserve">Istituto Zooprofilattico Sperimentale del Lazio e della Toscana </t>
  </si>
  <si>
    <t>Liguria</t>
  </si>
  <si>
    <t>Arpal Liguria - La Spezia</t>
  </si>
  <si>
    <t>Arpav Veneto - Verona</t>
  </si>
  <si>
    <t>Istituto Zooprofilattico Sperimentale del Piemonte, Liguria e Valle d'Aosta</t>
  </si>
  <si>
    <t>Istituto Zooprofilattico Sperimentale dell'Umbria e delle Marche</t>
  </si>
  <si>
    <t>Lombardia</t>
  </si>
  <si>
    <t>ATS Bergamo</t>
  </si>
  <si>
    <t>ATS Milano</t>
  </si>
  <si>
    <t>Marche</t>
  </si>
  <si>
    <t>Arpam Marche - Macerata</t>
  </si>
  <si>
    <t>Molise</t>
  </si>
  <si>
    <t xml:space="preserve">Istituto Zooprofilattico Sperimentale dell'Abruzzo e del Molise </t>
  </si>
  <si>
    <t>Piemonte</t>
  </si>
  <si>
    <t>Puglia</t>
  </si>
  <si>
    <t>Arpa Puglia - Bari</t>
  </si>
  <si>
    <t>Sardegna</t>
  </si>
  <si>
    <t>Istituto Zooprofilattico Sperimentale della Sardegna</t>
  </si>
  <si>
    <t>Sicilia</t>
  </si>
  <si>
    <t>Istituto Zooprofilattico Sperimentale della Sicilia</t>
  </si>
  <si>
    <t>Toscana</t>
  </si>
  <si>
    <t>Laboratorio Azienda USL Toscana Centro</t>
  </si>
  <si>
    <t>Trento (P.A.)</t>
  </si>
  <si>
    <t>Umbria</t>
  </si>
  <si>
    <t>Valle d'Aosta</t>
  </si>
  <si>
    <t>Arpa Valle d'Aosta</t>
  </si>
  <si>
    <t>Veneto</t>
  </si>
  <si>
    <t xml:space="preserve">  Totale nazionale</t>
  </si>
  <si>
    <t>Decreto Ministeriale del 23 dicembre 1992</t>
  </si>
  <si>
    <t>Tab. 4</t>
  </si>
  <si>
    <t xml:space="preserve">REGIONE </t>
  </si>
  <si>
    <t>CAMPIONI ANALIZZATI</t>
  </si>
  <si>
    <t>% CAMPIONI ANALIZZATI / CAMPIONI ATTESI</t>
  </si>
  <si>
    <t>CAMPIONI EFFETTUATI SU ATTESI</t>
  </si>
  <si>
    <t>name</t>
  </si>
  <si>
    <t>ABRUZZO</t>
  </si>
  <si>
    <t>BASILICATA</t>
  </si>
  <si>
    <t>PROV. AUTON. BOLZANO</t>
  </si>
  <si>
    <t xml:space="preserve">Calabria </t>
  </si>
  <si>
    <t>CALABRIA</t>
  </si>
  <si>
    <t>CAMPANIA</t>
  </si>
  <si>
    <t>EMILIA ROMAGNA</t>
  </si>
  <si>
    <t>Friuli V.G.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</si>
  <si>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</si>
  <si>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</si>
  <si>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</si>
  <si>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</si>
  <si>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</si>
  <si>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</si>
  <si>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</si>
  <si>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</si>
  <si>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</si>
  <si>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</si>
  <si>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</si>
  <si>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PROV. AUTON. TRENTO</t>
  </si>
  <si>
    <t>UMBRIA</t>
  </si>
  <si>
    <t>VALLE D`AOSTA</t>
  </si>
  <si>
    <t>VENETO</t>
  </si>
  <si>
    <t>* I campioni di cereali comprendono anche i trasformati(farine-riso brillato, etc)</t>
  </si>
  <si>
    <t>Graf. 4</t>
  </si>
  <si>
    <t>Programmazione nazionale dei campionamenti e laboratori che hanno effettuato le analisi</t>
  </si>
  <si>
    <t xml:space="preserve"> CAMPIONAMENTO DELLE REGIONI</t>
  </si>
  <si>
    <t xml:space="preserve">Regione </t>
  </si>
  <si>
    <t>Bolzano/Bozen</t>
  </si>
  <si>
    <t>Trento</t>
  </si>
  <si>
    <t>Friuli-Venezia Giulia</t>
  </si>
  <si>
    <t>Emilia-Romagna</t>
  </si>
  <si>
    <t>Abruzzo</t>
  </si>
  <si>
    <t xml:space="preserve"> Programmazione europea degli alimenti di origine vegetale e dei baby food</t>
  </si>
  <si>
    <t>Tab.3</t>
  </si>
  <si>
    <t>Tab. 2b</t>
  </si>
  <si>
    <t>Tab. 2a</t>
  </si>
  <si>
    <t>Tab. 1</t>
  </si>
  <si>
    <t>Risultati dei controlli ufficiali analizzati dalle Regioni e Province autonome di Trento e Bolzano</t>
  </si>
  <si>
    <t>RISULTATI TOTALI DEI CAMPIONAMENTI</t>
  </si>
  <si>
    <r>
      <t xml:space="preserve">PIANO NAZIONALE RESIDUI DI PRODOTTI FITOSANITARI IN ALIMENTI </t>
    </r>
    <r>
      <rPr>
        <b/>
        <i/>
        <sz val="72"/>
        <rFont val="Arial"/>
        <family val="2"/>
      </rPr>
      <t>(D.M. 23 DICEMBRE 1992)</t>
    </r>
  </si>
  <si>
    <t>RESIDUI DI PRODOTTI FITOSANITARI IN ALIMENTI</t>
  </si>
  <si>
    <t xml:space="preserve">Campioni senza residui   </t>
  </si>
  <si>
    <t>Campioni senza residui                                     (%)</t>
  </si>
  <si>
    <t>totale</t>
  </si>
  <si>
    <t>RISULTATI dei Campionamenti EUROPEI</t>
  </si>
  <si>
    <t>Tab. 5</t>
  </si>
  <si>
    <t>Tab. 7</t>
  </si>
  <si>
    <t>Tab. 6</t>
  </si>
  <si>
    <t>CAMPIONAMENTI</t>
  </si>
  <si>
    <t>IRREGOLARITA'</t>
  </si>
  <si>
    <t>anno</t>
  </si>
  <si>
    <t>0(0,0%)</t>
  </si>
  <si>
    <t>baby food</t>
  </si>
  <si>
    <t>altri prodotti</t>
  </si>
  <si>
    <t>Indice</t>
  </si>
  <si>
    <t>altro</t>
  </si>
  <si>
    <t>35 (0.9%)</t>
  </si>
  <si>
    <t>55(1,6%)</t>
  </si>
  <si>
    <t>8(0,5%)</t>
  </si>
  <si>
    <t>13(0,6%)</t>
  </si>
  <si>
    <t>111(0,9%)</t>
  </si>
  <si>
    <t xml:space="preserve">Regione/Province </t>
  </si>
  <si>
    <t>Uve da tavola</t>
  </si>
  <si>
    <t>Banane**</t>
  </si>
  <si>
    <t>Pompelmi****</t>
  </si>
  <si>
    <t>Melanzane</t>
  </si>
  <si>
    <t>Cavoli broccoli</t>
  </si>
  <si>
    <t>Meloni</t>
  </si>
  <si>
    <t>Funghi coltivati**</t>
  </si>
  <si>
    <t>Peperoni</t>
  </si>
  <si>
    <t>Molise*****</t>
  </si>
  <si>
    <t xml:space="preserve">Grasso bovino </t>
  </si>
  <si>
    <t>Uova di gallina</t>
  </si>
  <si>
    <t>Valle d'Aosta*</t>
  </si>
  <si>
    <t>Bolzano**</t>
  </si>
  <si>
    <t>Trento**</t>
  </si>
  <si>
    <t>Molise*</t>
  </si>
  <si>
    <t>APPATrento</t>
  </si>
  <si>
    <t>Istituto Zooprofilattico Sperimentale Lazio e Toscana</t>
  </si>
  <si>
    <t xml:space="preserve">Chicchi di frumento </t>
  </si>
  <si>
    <t>Olio di oliva***</t>
  </si>
  <si>
    <t>Alimenti per bambini a base di cereali</t>
  </si>
  <si>
    <t>* compresi alcuni  cereali trasformati (farine, riso brillato e i decorticati)</t>
  </si>
  <si>
    <t>Arpa Friuli Venezia Giulia - Udine</t>
  </si>
  <si>
    <t>N.B. Il totale nazionale non corrisponde alla somma dei laboratori per regione in quanto alcuni laboratori  operano in più regioni.</t>
  </si>
  <si>
    <t>Ortaggi***</t>
  </si>
  <si>
    <t xml:space="preserve">***nella categoria ortaggi sono contenuti anche i legumi secchi </t>
  </si>
  <si>
    <t>Ortaggi**</t>
  </si>
  <si>
    <t>** sono inclusi anche i campioni di legumi secchi</t>
  </si>
  <si>
    <t>Graf. 8</t>
  </si>
  <si>
    <t>Graf.9</t>
  </si>
  <si>
    <t>Programmazione europea degli alimenti di origine animale</t>
  </si>
  <si>
    <t>RISULTATI DEI CAMPIONAMENTI ALL'IMPORTAZIONE</t>
  </si>
  <si>
    <t>Andamento nel tempo</t>
  </si>
  <si>
    <t xml:space="preserve">Mele </t>
  </si>
  <si>
    <t>Fragole</t>
  </si>
  <si>
    <t>Pesche incluse le nettarine e simili ibridi</t>
  </si>
  <si>
    <t>Vino (bianco o rosso ) da uva</t>
  </si>
  <si>
    <t>lattuga</t>
  </si>
  <si>
    <t>Cavolo cappuccio</t>
  </si>
  <si>
    <t>pomodori</t>
  </si>
  <si>
    <t xml:space="preserve">Spinaci </t>
  </si>
  <si>
    <t xml:space="preserve">Chicchi di orzo </t>
  </si>
  <si>
    <t>Chicchi  di avena</t>
  </si>
  <si>
    <t>Alimenti per bambini food diversi da infant formula o follow on formulae o a base di cereali</t>
  </si>
  <si>
    <t xml:space="preserve">Totale </t>
  </si>
  <si>
    <t>INDIRIZZI DIRIGENZIALI DI CUI ALLA NOTA 47313 del 13-12-2018</t>
  </si>
  <si>
    <t xml:space="preserve">Grasso di maiale </t>
  </si>
  <si>
    <t>Latte di mucca</t>
  </si>
  <si>
    <t>ANNO 2019</t>
  </si>
  <si>
    <t>baby_food</t>
  </si>
  <si>
    <t>carni_ed_altro_di_O_A_altro</t>
  </si>
  <si>
    <t>cereali_processati_altro</t>
  </si>
  <si>
    <t>frutta_processata_altro</t>
  </si>
  <si>
    <t>latte_altro</t>
  </si>
  <si>
    <t>latte_processato_altro</t>
  </si>
  <si>
    <t>ortaggi_o_frutta_processati_altro</t>
  </si>
  <si>
    <t>ortaggi_processati_altro</t>
  </si>
  <si>
    <t>pesce_processato_altro</t>
  </si>
  <si>
    <t>pesci_altro</t>
  </si>
  <si>
    <t>TÈ_CAFFÈ_INFUSIONI_DI_ERBE_E_CARRUBE_altro</t>
  </si>
  <si>
    <t>uova_altro</t>
  </si>
  <si>
    <t>importazioni</t>
  </si>
  <si>
    <t>63 (1.9%)</t>
  </si>
  <si>
    <t>56 (1,8%)</t>
  </si>
  <si>
    <t>7 (0,4%)</t>
  </si>
  <si>
    <t>0 (0%)</t>
  </si>
  <si>
    <t>1 (0,1%)</t>
  </si>
  <si>
    <t>6 (0,3%)</t>
  </si>
  <si>
    <t>133 (1,1%)</t>
  </si>
  <si>
    <t xml:space="preserve"> ANNI 2018 - 2019</t>
  </si>
  <si>
    <t>Oat and similar-</t>
  </si>
  <si>
    <t>Oat and similar-organic</t>
  </si>
  <si>
    <t>Oat grain</t>
  </si>
  <si>
    <t>Oat grain-organic</t>
  </si>
  <si>
    <t>Barley grains</t>
  </si>
  <si>
    <t>Barley grains-organic</t>
  </si>
  <si>
    <t>Barley flour</t>
  </si>
  <si>
    <t>Oat flour</t>
  </si>
  <si>
    <t>Oat flour-organic</t>
  </si>
  <si>
    <t>Head cabbages and similar-</t>
  </si>
  <si>
    <t>Head cabbages and similar-organic</t>
  </si>
  <si>
    <t>Head cabbages</t>
  </si>
  <si>
    <t>Head cabbages-organic</t>
  </si>
  <si>
    <t>Pointed head cabbages</t>
  </si>
  <si>
    <t>Savoy cabbages</t>
  </si>
  <si>
    <t>White cabbage</t>
  </si>
  <si>
    <t>Tomatoes and similar-</t>
  </si>
  <si>
    <t>Globe tomato</t>
  </si>
  <si>
    <t>Globe tomato-organic</t>
  </si>
  <si>
    <t>Pear-shaped tomatoes</t>
  </si>
  <si>
    <t>Cherry tomatoes</t>
  </si>
  <si>
    <t>Lettuces (generic)</t>
  </si>
  <si>
    <t>Lettuces (generic)-organic</t>
  </si>
  <si>
    <t>Crisp lettuces</t>
  </si>
  <si>
    <t>Romaines</t>
  </si>
  <si>
    <t>Spinach-type leaves</t>
  </si>
  <si>
    <t>Spinaches and similar-</t>
  </si>
  <si>
    <t>Spinaches and similar-organic</t>
  </si>
  <si>
    <t>Spinaches</t>
  </si>
  <si>
    <t>Spinaches-organic</t>
  </si>
  <si>
    <t>Apples and similar-</t>
  </si>
  <si>
    <t>Apples</t>
  </si>
  <si>
    <t>Apples-organic</t>
  </si>
  <si>
    <t>Strawberries and similar-</t>
  </si>
  <si>
    <t>Strawberries</t>
  </si>
  <si>
    <t>Strawberries-organic</t>
  </si>
  <si>
    <t>Peaches and similar-</t>
  </si>
  <si>
    <t>Peaches and similar-organic</t>
  </si>
  <si>
    <t>Common peaches</t>
  </si>
  <si>
    <t>Common peaches-organic</t>
  </si>
  <si>
    <t>Nectarines</t>
  </si>
  <si>
    <t>Pig fat tissue</t>
  </si>
  <si>
    <t>Pig fat tissue-organic</t>
  </si>
  <si>
    <t>Cow milk, whole</t>
  </si>
  <si>
    <t>Wine, white</t>
  </si>
  <si>
    <t>Wine, white-organic</t>
  </si>
  <si>
    <t>Wine, red</t>
  </si>
  <si>
    <t>Wine, red-organic</t>
  </si>
  <si>
    <t>Ready-to-eat meal for infants and young children</t>
  </si>
  <si>
    <t>Ready-to-eat meal for infants and young children-organic</t>
  </si>
  <si>
    <t>Ready-to-eat meat-based meal for children</t>
  </si>
  <si>
    <t>Ready-to-eat fruit-based meal for children</t>
  </si>
  <si>
    <t>Other food for infants and children</t>
  </si>
  <si>
    <t>Lettuces and similar-</t>
  </si>
  <si>
    <t>Lettuces and similar-organic</t>
  </si>
  <si>
    <t>Tomatoes</t>
  </si>
  <si>
    <t>Tomatoes-organic</t>
  </si>
  <si>
    <t xml:space="preserve">Total </t>
  </si>
  <si>
    <t>** frutta, ortaggi e cereali processati- alimenti di origine animale (carni , miele , uova  , latte processato e non, pesci processato e non), piante da zucchero , spezie,  semi e frutti oleaginosi ,  te, caffe, erbe infusionali, cacao e carrube processati e non</t>
  </si>
  <si>
    <t xml:space="preserve">** frutta, ortaggi  processati-  pesci , piante da zucchero , spezie,  semi e frutti oleaginosi ,  te, caffe, erbe infusionali, cacao e carrube processati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</si>
</sst>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7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b/>
      <sz val="72"/>
      <name val="Arial"/>
      <family val="2"/>
    </font>
    <font>
      <b/>
      <i/>
      <sz val="72"/>
      <name val="Arial"/>
      <family val="2"/>
    </font>
    <font>
      <b/>
      <sz val="48"/>
      <color indexed="10"/>
      <name val="Arial"/>
      <family val="2"/>
    </font>
    <font>
      <sz val="10"/>
      <name val="Arial"/>
      <family val="2"/>
    </font>
    <font>
      <b/>
      <sz val="48"/>
      <name val="Verdana"/>
      <family val="2"/>
    </font>
    <font>
      <sz val="36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36"/>
      <name val="Verdana"/>
      <family val="2"/>
    </font>
    <font>
      <sz val="20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sz val="20"/>
      <name val="Verdana"/>
      <family val="2"/>
    </font>
    <font>
      <b/>
      <sz val="28"/>
      <name val="Verdana"/>
      <family val="2"/>
    </font>
    <font>
      <b/>
      <sz val="9"/>
      <name val="Arial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b/>
      <sz val="18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8"/>
      <color rgb="FF000000"/>
      <name val="EUAlbertina"/>
    </font>
    <font>
      <b/>
      <sz val="18"/>
      <color rgb="FF000000"/>
      <name val="Arial"/>
      <family val="2"/>
    </font>
    <font>
      <b/>
      <sz val="18"/>
      <name val="Times New Roman"/>
      <family val="1"/>
    </font>
    <font>
      <b/>
      <sz val="16"/>
      <name val="Verdana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20"/>
      <name val="Verdana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48"/>
      <color theme="1"/>
      <name val="Arial"/>
      <family val="2"/>
    </font>
    <font>
      <sz val="9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5"/>
        <bgColor indexed="46"/>
      </patternFill>
    </fill>
    <fill>
      <patternFill patternType="solid">
        <fgColor indexed="44"/>
        <bgColor indexed="41"/>
      </patternFill>
    </fill>
    <fill>
      <patternFill patternType="solid">
        <fgColor rgb="FFFF9966"/>
        <bgColor indexed="45"/>
      </patternFill>
    </fill>
    <fill>
      <patternFill patternType="solid">
        <fgColor indexed="22"/>
        <bgColor indexed="0"/>
      </patternFill>
    </fill>
    <fill>
      <patternFill patternType="solid">
        <fgColor indexed="55"/>
        <bgColor indexed="19"/>
      </patternFill>
    </fill>
    <fill>
      <patternFill patternType="solid">
        <fgColor indexed="49"/>
        <bgColor indexed="41"/>
      </patternFill>
    </fill>
    <fill>
      <patternFill patternType="solid">
        <fgColor indexed="19"/>
        <bgColor indexed="55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rgb="FFB193ED"/>
        <bgColor indexed="64"/>
      </patternFill>
    </fill>
    <fill>
      <patternFill patternType="solid">
        <fgColor rgb="FF94683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42CD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27"/>
      </patternFill>
    </fill>
    <fill>
      <patternFill patternType="solid">
        <fgColor theme="8" tint="-0.249977111117893"/>
        <bgColor indexed="4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9.9978637043366805E-2"/>
        <bgColor indexed="26"/>
      </patternFill>
    </fill>
  </fills>
  <borders count="133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/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/>
      <top style="medium">
        <color rgb="FFD0D7E5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D0D7E5"/>
      </top>
      <bottom style="medium">
        <color rgb="FFD0D7E5"/>
      </bottom>
      <diagonal/>
    </border>
    <border>
      <left/>
      <right/>
      <top style="medium">
        <color rgb="FFD0D7E5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25" fillId="0" borderId="0"/>
    <xf numFmtId="0" fontId="4" fillId="0" borderId="0"/>
    <xf numFmtId="0" fontId="3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414">
    <xf numFmtId="0" fontId="0" fillId="0" borderId="0" xfId="0"/>
    <xf numFmtId="0" fontId="8" fillId="0" borderId="0" xfId="1" applyAlignment="1">
      <alignment horizontal="left"/>
    </xf>
    <xf numFmtId="0" fontId="10" fillId="0" borderId="0" xfId="1" applyFont="1"/>
    <xf numFmtId="0" fontId="11" fillId="0" borderId="0" xfId="1" applyFont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12" borderId="26" xfId="1" applyFont="1" applyFill="1" applyBorder="1" applyAlignment="1">
      <alignment horizontal="center" vertical="center" wrapText="1"/>
    </xf>
    <xf numFmtId="0" fontId="5" fillId="9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12" fillId="0" borderId="0" xfId="1" applyFont="1"/>
    <xf numFmtId="0" fontId="5" fillId="13" borderId="28" xfId="1" applyFont="1" applyFill="1" applyBorder="1" applyAlignment="1">
      <alignment vertical="center" wrapText="1"/>
    </xf>
    <xf numFmtId="3" fontId="5" fillId="0" borderId="29" xfId="1" applyNumberFormat="1" applyFont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5" fillId="0" borderId="29" xfId="1" applyFont="1" applyBorder="1" applyAlignment="1">
      <alignment horizontal="center" vertical="center" wrapText="1"/>
    </xf>
    <xf numFmtId="0" fontId="5" fillId="13" borderId="38" xfId="1" applyFont="1" applyFill="1" applyBorder="1" applyAlignment="1">
      <alignment vertical="center" wrapText="1"/>
    </xf>
    <xf numFmtId="0" fontId="5" fillId="13" borderId="28" xfId="1" applyFont="1" applyFill="1" applyBorder="1" applyAlignment="1">
      <alignment horizontal="left" vertical="center" wrapText="1"/>
    </xf>
    <xf numFmtId="3" fontId="5" fillId="0" borderId="39" xfId="1" applyNumberFormat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0" fontId="5" fillId="13" borderId="31" xfId="1" applyFont="1" applyFill="1" applyBorder="1" applyAlignment="1">
      <alignment vertical="center" wrapText="1"/>
    </xf>
    <xf numFmtId="3" fontId="5" fillId="0" borderId="36" xfId="1" applyNumberFormat="1" applyFont="1" applyBorder="1" applyAlignment="1">
      <alignment horizontal="center" vertical="center" wrapText="1"/>
    </xf>
    <xf numFmtId="3" fontId="6" fillId="0" borderId="37" xfId="1" applyNumberFormat="1" applyFont="1" applyFill="1" applyBorder="1" applyAlignment="1">
      <alignment horizontal="center" vertical="center" wrapText="1"/>
    </xf>
    <xf numFmtId="3" fontId="5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0" fontId="13" fillId="0" borderId="0" xfId="1" applyFont="1"/>
    <xf numFmtId="0" fontId="5" fillId="3" borderId="44" xfId="1" applyFont="1" applyFill="1" applyBorder="1" applyAlignment="1">
      <alignment vertical="center" wrapText="1"/>
    </xf>
    <xf numFmtId="3" fontId="5" fillId="3" borderId="42" xfId="1" applyNumberFormat="1" applyFont="1" applyFill="1" applyBorder="1" applyAlignment="1">
      <alignment horizontal="center" vertical="center" wrapText="1"/>
    </xf>
    <xf numFmtId="3" fontId="7" fillId="3" borderId="45" xfId="1" applyNumberFormat="1" applyFont="1" applyFill="1" applyBorder="1" applyAlignment="1">
      <alignment vertical="center" wrapText="1"/>
    </xf>
    <xf numFmtId="3" fontId="5" fillId="8" borderId="46" xfId="1" applyNumberFormat="1" applyFont="1" applyFill="1" applyBorder="1" applyAlignment="1">
      <alignment horizontal="center" vertical="center" wrapText="1"/>
    </xf>
    <xf numFmtId="3" fontId="5" fillId="6" borderId="46" xfId="1" applyNumberFormat="1" applyFont="1" applyFill="1" applyBorder="1" applyAlignment="1">
      <alignment horizontal="center" vertical="center" wrapText="1"/>
    </xf>
    <xf numFmtId="3" fontId="5" fillId="2" borderId="47" xfId="1" applyNumberFormat="1" applyFont="1" applyFill="1" applyBorder="1" applyAlignment="1">
      <alignment horizontal="center" vertical="center" wrapText="1"/>
    </xf>
    <xf numFmtId="0" fontId="8" fillId="0" borderId="0" xfId="1"/>
    <xf numFmtId="0" fontId="15" fillId="0" borderId="0" xfId="1" applyFont="1"/>
    <xf numFmtId="3" fontId="14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horizontal="center" vertical="center"/>
    </xf>
    <xf numFmtId="0" fontId="19" fillId="0" borderId="0" xfId="1" applyFont="1"/>
    <xf numFmtId="0" fontId="17" fillId="0" borderId="0" xfId="1" applyFont="1" applyBorder="1" applyAlignment="1">
      <alignment horizontal="center" vertical="center"/>
    </xf>
    <xf numFmtId="0" fontId="21" fillId="0" borderId="0" xfId="1" applyFont="1"/>
    <xf numFmtId="0" fontId="23" fillId="8" borderId="52" xfId="1" applyFont="1" applyFill="1" applyBorder="1" applyAlignment="1">
      <alignment horizontal="center" vertical="center" wrapText="1"/>
    </xf>
    <xf numFmtId="0" fontId="23" fillId="6" borderId="53" xfId="1" applyFont="1" applyFill="1" applyBorder="1" applyAlignment="1">
      <alignment horizontal="center" vertical="center" wrapText="1"/>
    </xf>
    <xf numFmtId="0" fontId="23" fillId="3" borderId="53" xfId="1" applyFont="1" applyFill="1" applyBorder="1" applyAlignment="1">
      <alignment horizontal="center" vertical="center" wrapText="1"/>
    </xf>
    <xf numFmtId="0" fontId="23" fillId="14" borderId="53" xfId="1" applyFont="1" applyFill="1" applyBorder="1" applyAlignment="1">
      <alignment horizontal="center" vertical="center" wrapText="1"/>
    </xf>
    <xf numFmtId="0" fontId="23" fillId="9" borderId="53" xfId="1" applyFont="1" applyFill="1" applyBorder="1" applyAlignment="1">
      <alignment horizontal="center" vertical="center" wrapText="1"/>
    </xf>
    <xf numFmtId="0" fontId="1" fillId="15" borderId="54" xfId="1" applyFont="1" applyFill="1" applyBorder="1" applyAlignment="1">
      <alignment horizontal="center" vertical="center" wrapText="1"/>
    </xf>
    <xf numFmtId="0" fontId="24" fillId="16" borderId="55" xfId="1" applyFont="1" applyFill="1" applyBorder="1" applyAlignment="1">
      <alignment horizontal="center" vertical="center" wrapText="1"/>
    </xf>
    <xf numFmtId="0" fontId="17" fillId="13" borderId="56" xfId="1" applyFont="1" applyFill="1" applyBorder="1" applyAlignment="1">
      <alignment vertical="center" wrapText="1"/>
    </xf>
    <xf numFmtId="3" fontId="17" fillId="0" borderId="57" xfId="1" applyNumberFormat="1" applyFont="1" applyBorder="1" applyAlignment="1">
      <alignment horizontal="center" vertical="center" wrapText="1"/>
    </xf>
    <xf numFmtId="3" fontId="17" fillId="0" borderId="58" xfId="1" applyNumberFormat="1" applyFont="1" applyBorder="1" applyAlignment="1">
      <alignment horizontal="center" vertical="center" wrapText="1"/>
    </xf>
    <xf numFmtId="3" fontId="17" fillId="0" borderId="59" xfId="1" applyNumberFormat="1" applyFont="1" applyBorder="1" applyAlignment="1">
      <alignment horizontal="center" vertical="center" wrapText="1"/>
    </xf>
    <xf numFmtId="3" fontId="17" fillId="17" borderId="60" xfId="1" applyNumberFormat="1" applyFont="1" applyFill="1" applyBorder="1" applyAlignment="1">
      <alignment horizontal="center" vertical="center" wrapText="1"/>
    </xf>
    <xf numFmtId="3" fontId="17" fillId="0" borderId="61" xfId="1" applyNumberFormat="1" applyFont="1" applyBorder="1" applyAlignment="1">
      <alignment horizontal="center" vertical="center" wrapText="1"/>
    </xf>
    <xf numFmtId="3" fontId="17" fillId="17" borderId="62" xfId="1" applyNumberFormat="1" applyFont="1" applyFill="1" applyBorder="1" applyAlignment="1">
      <alignment horizontal="center" vertical="center" wrapText="1"/>
    </xf>
    <xf numFmtId="3" fontId="17" fillId="0" borderId="63" xfId="1" applyNumberFormat="1" applyFont="1" applyBorder="1" applyAlignment="1">
      <alignment horizontal="center" vertical="center" wrapText="1"/>
    </xf>
    <xf numFmtId="3" fontId="17" fillId="0" borderId="64" xfId="1" applyNumberFormat="1" applyFont="1" applyBorder="1" applyAlignment="1">
      <alignment horizontal="center" vertical="center" wrapText="1"/>
    </xf>
    <xf numFmtId="3" fontId="17" fillId="0" borderId="65" xfId="1" applyNumberFormat="1" applyFont="1" applyBorder="1" applyAlignment="1">
      <alignment horizontal="center" vertical="center" wrapText="1"/>
    </xf>
    <xf numFmtId="3" fontId="17" fillId="0" borderId="62" xfId="1" applyNumberFormat="1" applyFont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right" wrapText="1"/>
    </xf>
    <xf numFmtId="0" fontId="25" fillId="0" borderId="0" xfId="2"/>
    <xf numFmtId="0" fontId="0" fillId="0" borderId="23" xfId="2" applyFont="1" applyFill="1" applyBorder="1" applyAlignment="1">
      <alignment horizontal="right" wrapText="1"/>
    </xf>
    <xf numFmtId="0" fontId="8" fillId="0" borderId="0" xfId="1" applyFont="1"/>
    <xf numFmtId="3" fontId="17" fillId="0" borderId="66" xfId="1" applyNumberFormat="1" applyFont="1" applyBorder="1" applyAlignment="1">
      <alignment horizontal="center" vertical="center" wrapText="1"/>
    </xf>
    <xf numFmtId="3" fontId="17" fillId="0" borderId="67" xfId="1" applyNumberFormat="1" applyFont="1" applyBorder="1" applyAlignment="1">
      <alignment horizontal="center" vertical="center" wrapText="1"/>
    </xf>
    <xf numFmtId="3" fontId="17" fillId="0" borderId="68" xfId="1" applyNumberFormat="1" applyFont="1" applyBorder="1" applyAlignment="1">
      <alignment horizontal="center" vertical="center" wrapText="1"/>
    </xf>
    <xf numFmtId="3" fontId="17" fillId="0" borderId="69" xfId="1" applyNumberFormat="1" applyFont="1" applyBorder="1" applyAlignment="1">
      <alignment horizontal="center" vertical="center" wrapText="1"/>
    </xf>
    <xf numFmtId="3" fontId="17" fillId="17" borderId="70" xfId="1" applyNumberFormat="1" applyFont="1" applyFill="1" applyBorder="1" applyAlignment="1">
      <alignment horizontal="center" vertical="center" wrapText="1"/>
    </xf>
    <xf numFmtId="0" fontId="17" fillId="2" borderId="71" xfId="1" applyFont="1" applyFill="1" applyBorder="1" applyAlignment="1">
      <alignment vertical="center" wrapText="1"/>
    </xf>
    <xf numFmtId="3" fontId="17" fillId="4" borderId="72" xfId="1" applyNumberFormat="1" applyFont="1" applyFill="1" applyBorder="1" applyAlignment="1">
      <alignment horizontal="center" vertical="center" wrapText="1"/>
    </xf>
    <xf numFmtId="3" fontId="17" fillId="6" borderId="73" xfId="1" applyNumberFormat="1" applyFont="1" applyFill="1" applyBorder="1" applyAlignment="1">
      <alignment horizontal="center" vertical="center" wrapText="1"/>
    </xf>
    <xf numFmtId="3" fontId="17" fillId="3" borderId="73" xfId="1" applyNumberFormat="1" applyFont="1" applyFill="1" applyBorder="1" applyAlignment="1">
      <alignment horizontal="center" vertical="center" wrapText="1"/>
    </xf>
    <xf numFmtId="3" fontId="17" fillId="14" borderId="73" xfId="1" applyNumberFormat="1" applyFont="1" applyFill="1" applyBorder="1" applyAlignment="1">
      <alignment horizontal="center" vertical="center" wrapText="1"/>
    </xf>
    <xf numFmtId="3" fontId="17" fillId="9" borderId="74" xfId="1" applyNumberFormat="1" applyFont="1" applyFill="1" applyBorder="1" applyAlignment="1">
      <alignment horizontal="center" vertical="center" wrapText="1"/>
    </xf>
    <xf numFmtId="3" fontId="17" fillId="15" borderId="75" xfId="1" applyNumberFormat="1" applyFont="1" applyFill="1" applyBorder="1" applyAlignment="1">
      <alignment horizontal="center" vertical="center" wrapText="1"/>
    </xf>
    <xf numFmtId="3" fontId="17" fillId="4" borderId="76" xfId="1" applyNumberFormat="1" applyFont="1" applyFill="1" applyBorder="1" applyAlignment="1">
      <alignment horizontal="center" vertical="center" wrapText="1"/>
    </xf>
    <xf numFmtId="3" fontId="17" fillId="6" borderId="77" xfId="1" applyNumberFormat="1" applyFont="1" applyFill="1" applyBorder="1" applyAlignment="1">
      <alignment horizontal="center" vertical="center" wrapText="1"/>
    </xf>
    <xf numFmtId="3" fontId="17" fillId="3" borderId="77" xfId="1" applyNumberFormat="1" applyFont="1" applyFill="1" applyBorder="1" applyAlignment="1">
      <alignment horizontal="center" vertical="center" wrapText="1"/>
    </xf>
    <xf numFmtId="3" fontId="17" fillId="14" borderId="77" xfId="1" applyNumberFormat="1" applyFont="1" applyFill="1" applyBorder="1" applyAlignment="1">
      <alignment horizontal="center" vertical="center" wrapText="1"/>
    </xf>
    <xf numFmtId="3" fontId="17" fillId="9" borderId="77" xfId="1" applyNumberFormat="1" applyFont="1" applyFill="1" applyBorder="1" applyAlignment="1">
      <alignment horizontal="center" vertical="center" wrapText="1"/>
    </xf>
    <xf numFmtId="3" fontId="17" fillId="16" borderId="78" xfId="1" applyNumberFormat="1" applyFont="1" applyFill="1" applyBorder="1" applyAlignment="1">
      <alignment horizontal="center" vertical="center" wrapText="1"/>
    </xf>
    <xf numFmtId="0" fontId="8" fillId="0" borderId="0" xfId="1" applyBorder="1"/>
    <xf numFmtId="0" fontId="28" fillId="0" borderId="0" xfId="1" applyFont="1"/>
    <xf numFmtId="0" fontId="21" fillId="0" borderId="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29" fillId="0" borderId="0" xfId="1" applyFont="1"/>
    <xf numFmtId="0" fontId="30" fillId="0" borderId="0" xfId="1" applyFont="1"/>
    <xf numFmtId="0" fontId="17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" fillId="11" borderId="22" xfId="3" applyFont="1" applyFill="1" applyBorder="1" applyAlignment="1">
      <alignment horizontal="center"/>
    </xf>
    <xf numFmtId="0" fontId="3" fillId="0" borderId="23" xfId="3" applyFont="1" applyFill="1" applyBorder="1" applyAlignment="1">
      <alignment wrapText="1"/>
    </xf>
    <xf numFmtId="0" fontId="3" fillId="0" borderId="23" xfId="3" applyFont="1" applyFill="1" applyBorder="1" applyAlignment="1">
      <alignment horizontal="right" wrapText="1"/>
    </xf>
    <xf numFmtId="0" fontId="4" fillId="0" borderId="0" xfId="3"/>
    <xf numFmtId="3" fontId="33" fillId="0" borderId="0" xfId="1" applyNumberFormat="1" applyFont="1" applyBorder="1" applyAlignment="1">
      <alignment horizontal="center" vertical="center" wrapText="1"/>
    </xf>
    <xf numFmtId="0" fontId="34" fillId="0" borderId="0" xfId="4" applyNumberFormat="1" applyFont="1" applyFill="1" applyBorder="1" applyAlignment="1" applyProtection="1">
      <alignment horizontal="left"/>
    </xf>
    <xf numFmtId="0" fontId="8" fillId="0" borderId="79" xfId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26" fillId="0" borderId="23" xfId="5" applyFont="1" applyFill="1" applyBorder="1" applyAlignment="1">
      <alignment horizontal="right" wrapText="1"/>
    </xf>
    <xf numFmtId="0" fontId="1" fillId="4" borderId="10" xfId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164" fontId="2" fillId="5" borderId="13" xfId="1" applyNumberFormat="1" applyFont="1" applyFill="1" applyBorder="1" applyAlignment="1">
      <alignment horizontal="center" vertical="center"/>
    </xf>
    <xf numFmtId="164" fontId="2" fillId="5" borderId="14" xfId="1" applyNumberFormat="1" applyFont="1" applyFill="1" applyBorder="1" applyAlignment="1">
      <alignment horizontal="center" vertical="center"/>
    </xf>
    <xf numFmtId="164" fontId="8" fillId="0" borderId="0" xfId="1" applyNumberFormat="1" applyBorder="1"/>
    <xf numFmtId="3" fontId="8" fillId="0" borderId="0" xfId="1" applyNumberFormat="1"/>
    <xf numFmtId="164" fontId="8" fillId="0" borderId="0" xfId="1" applyNumberFormat="1"/>
    <xf numFmtId="0" fontId="26" fillId="0" borderId="23" xfId="6" applyFont="1" applyFill="1" applyBorder="1" applyAlignment="1">
      <alignment wrapText="1"/>
    </xf>
    <xf numFmtId="0" fontId="26" fillId="0" borderId="23" xfId="6" applyFont="1" applyFill="1" applyBorder="1" applyAlignment="1">
      <alignment horizontal="right" wrapText="1"/>
    </xf>
    <xf numFmtId="0" fontId="1" fillId="6" borderId="15" xfId="1" applyFont="1" applyFill="1" applyBorder="1" applyAlignment="1">
      <alignment horizontal="center" vertical="center"/>
    </xf>
    <xf numFmtId="3" fontId="2" fillId="5" borderId="16" xfId="1" applyNumberFormat="1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right" wrapText="1"/>
    </xf>
    <xf numFmtId="0" fontId="25" fillId="0" borderId="0" xfId="5"/>
    <xf numFmtId="0" fontId="1" fillId="7" borderId="15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right" wrapText="1"/>
    </xf>
    <xf numFmtId="0" fontId="25" fillId="0" borderId="0" xfId="6"/>
    <xf numFmtId="0" fontId="1" fillId="8" borderId="15" xfId="1" applyFont="1" applyFill="1" applyBorder="1" applyAlignment="1">
      <alignment horizontal="center" vertical="center"/>
    </xf>
    <xf numFmtId="0" fontId="1" fillId="9" borderId="15" xfId="1" applyFont="1" applyFill="1" applyBorder="1" applyAlignment="1">
      <alignment horizontal="center" vertical="center"/>
    </xf>
    <xf numFmtId="0" fontId="1" fillId="10" borderId="15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164" fontId="2" fillId="5" borderId="20" xfId="1" applyNumberFormat="1" applyFont="1" applyFill="1" applyBorder="1" applyAlignment="1">
      <alignment horizontal="center" vertical="center"/>
    </xf>
    <xf numFmtId="164" fontId="2" fillId="5" borderId="21" xfId="1" applyNumberFormat="1" applyFont="1" applyFill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26" fillId="0" borderId="23" xfId="7" applyFont="1" applyFill="1" applyBorder="1" applyAlignment="1">
      <alignment wrapText="1"/>
    </xf>
    <xf numFmtId="0" fontId="26" fillId="0" borderId="23" xfId="7" applyFont="1" applyFill="1" applyBorder="1" applyAlignment="1">
      <alignment horizontal="right" wrapText="1"/>
    </xf>
    <xf numFmtId="0" fontId="26" fillId="0" borderId="0" xfId="7" applyFont="1" applyFill="1" applyBorder="1" applyAlignment="1">
      <alignment horizontal="right" wrapText="1"/>
    </xf>
    <xf numFmtId="0" fontId="25" fillId="0" borderId="0" xfId="7"/>
    <xf numFmtId="0" fontId="35" fillId="0" borderId="0" xfId="1" applyFont="1" applyBorder="1" applyAlignment="1"/>
    <xf numFmtId="0" fontId="28" fillId="0" borderId="0" xfId="1" applyFont="1" applyAlignment="1">
      <alignment horizontal="center" vertical="center"/>
    </xf>
    <xf numFmtId="0" fontId="40" fillId="0" borderId="0" xfId="1" applyFont="1" applyAlignment="1">
      <alignment horizontal="center"/>
    </xf>
    <xf numFmtId="0" fontId="41" fillId="0" borderId="81" xfId="1" applyFont="1" applyBorder="1" applyAlignment="1">
      <alignment horizontal="center" vertical="center" wrapText="1"/>
    </xf>
    <xf numFmtId="0" fontId="42" fillId="18" borderId="82" xfId="1" applyFont="1" applyFill="1" applyBorder="1" applyAlignment="1">
      <alignment horizontal="center" vertical="center" wrapText="1"/>
    </xf>
    <xf numFmtId="0" fontId="42" fillId="19" borderId="82" xfId="1" applyFont="1" applyFill="1" applyBorder="1" applyAlignment="1">
      <alignment horizontal="center" vertical="center" wrapText="1"/>
    </xf>
    <xf numFmtId="0" fontId="42" fillId="20" borderId="82" xfId="1" applyFont="1" applyFill="1" applyBorder="1" applyAlignment="1">
      <alignment horizontal="center" vertical="center" wrapText="1"/>
    </xf>
    <xf numFmtId="0" fontId="42" fillId="21" borderId="82" xfId="1" applyFont="1" applyFill="1" applyBorder="1" applyAlignment="1">
      <alignment horizontal="center" vertical="center" wrapText="1"/>
    </xf>
    <xf numFmtId="0" fontId="1" fillId="22" borderId="82" xfId="1" applyFont="1" applyFill="1" applyBorder="1" applyAlignment="1">
      <alignment horizontal="center" vertical="center" wrapText="1"/>
    </xf>
    <xf numFmtId="0" fontId="1" fillId="23" borderId="82" xfId="1" applyFont="1" applyFill="1" applyBorder="1" applyAlignment="1">
      <alignment horizontal="center" vertical="center" wrapText="1"/>
    </xf>
    <xf numFmtId="0" fontId="1" fillId="24" borderId="82" xfId="1" applyFont="1" applyFill="1" applyBorder="1" applyAlignment="1">
      <alignment horizontal="center" vertical="center" wrapText="1"/>
    </xf>
    <xf numFmtId="0" fontId="1" fillId="25" borderId="82" xfId="1" applyFont="1" applyFill="1" applyBorder="1" applyAlignment="1">
      <alignment horizontal="center" vertical="center" wrapText="1"/>
    </xf>
    <xf numFmtId="0" fontId="1" fillId="26" borderId="82" xfId="1" applyFont="1" applyFill="1" applyBorder="1" applyAlignment="1">
      <alignment horizontal="center" vertical="center" wrapText="1"/>
    </xf>
    <xf numFmtId="0" fontId="1" fillId="27" borderId="82" xfId="1" applyFont="1" applyFill="1" applyBorder="1" applyAlignment="1">
      <alignment horizontal="center" vertical="center" wrapText="1"/>
    </xf>
    <xf numFmtId="0" fontId="1" fillId="28" borderId="82" xfId="1" applyFont="1" applyFill="1" applyBorder="1" applyAlignment="1">
      <alignment horizontal="center" vertical="center" wrapText="1"/>
    </xf>
    <xf numFmtId="0" fontId="2" fillId="0" borderId="83" xfId="1" applyFont="1" applyBorder="1" applyAlignment="1">
      <alignment horizontal="center" vertical="center" wrapText="1"/>
    </xf>
    <xf numFmtId="0" fontId="1" fillId="0" borderId="84" xfId="1" applyFont="1" applyBorder="1" applyAlignment="1">
      <alignment horizontal="center" vertical="center" wrapText="1"/>
    </xf>
    <xf numFmtId="0" fontId="43" fillId="0" borderId="84" xfId="1" applyFont="1" applyBorder="1" applyAlignment="1">
      <alignment horizontal="center" vertical="center" wrapText="1"/>
    </xf>
    <xf numFmtId="0" fontId="41" fillId="29" borderId="82" xfId="1" applyFont="1" applyFill="1" applyBorder="1" applyAlignment="1">
      <alignment horizontal="center" vertical="center" wrapText="1"/>
    </xf>
    <xf numFmtId="0" fontId="41" fillId="23" borderId="82" xfId="1" applyFont="1" applyFill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/>
    </xf>
    <xf numFmtId="0" fontId="44" fillId="0" borderId="0" xfId="1" applyFont="1" applyBorder="1" applyAlignment="1">
      <alignment horizontal="center" vertical="center"/>
    </xf>
    <xf numFmtId="0" fontId="37" fillId="2" borderId="0" xfId="1" applyFont="1" applyFill="1" applyBorder="1" applyAlignment="1">
      <alignment horizontal="center" vertical="center" wrapText="1"/>
    </xf>
    <xf numFmtId="0" fontId="37" fillId="2" borderId="6" xfId="1" applyFont="1" applyFill="1" applyBorder="1" applyAlignment="1">
      <alignment horizontal="center" vertical="center" wrapText="1"/>
    </xf>
    <xf numFmtId="0" fontId="37" fillId="2" borderId="7" xfId="1" applyFont="1" applyFill="1" applyBorder="1" applyAlignment="1">
      <alignment horizontal="center" vertical="center" wrapText="1"/>
    </xf>
    <xf numFmtId="0" fontId="37" fillId="2" borderId="8" xfId="1" applyFont="1" applyFill="1" applyBorder="1" applyAlignment="1">
      <alignment horizontal="center" vertical="center" wrapText="1"/>
    </xf>
    <xf numFmtId="0" fontId="37" fillId="2" borderId="9" xfId="1" applyFont="1" applyFill="1" applyBorder="1" applyAlignment="1">
      <alignment horizontal="center" vertical="center" wrapText="1"/>
    </xf>
    <xf numFmtId="0" fontId="26" fillId="11" borderId="22" xfId="8" applyFont="1" applyFill="1" applyBorder="1" applyAlignment="1">
      <alignment horizontal="center"/>
    </xf>
    <xf numFmtId="0" fontId="26" fillId="0" borderId="23" xfId="9" applyFont="1" applyFill="1" applyBorder="1" applyAlignment="1">
      <alignment wrapText="1"/>
    </xf>
    <xf numFmtId="0" fontId="26" fillId="0" borderId="23" xfId="9" applyFont="1" applyFill="1" applyBorder="1" applyAlignment="1">
      <alignment horizontal="right" wrapText="1"/>
    </xf>
    <xf numFmtId="0" fontId="25" fillId="0" borderId="0" xfId="9"/>
    <xf numFmtId="0" fontId="26" fillId="11" borderId="22" xfId="10" applyFont="1" applyFill="1" applyBorder="1" applyAlignment="1">
      <alignment horizontal="center"/>
    </xf>
    <xf numFmtId="0" fontId="2" fillId="8" borderId="32" xfId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 vertical="center"/>
    </xf>
    <xf numFmtId="0" fontId="26" fillId="0" borderId="23" xfId="8" applyFont="1" applyFill="1" applyBorder="1" applyAlignment="1">
      <alignment wrapText="1"/>
    </xf>
    <xf numFmtId="0" fontId="25" fillId="0" borderId="0" xfId="8"/>
    <xf numFmtId="0" fontId="26" fillId="0" borderId="23" xfId="10" applyFont="1" applyFill="1" applyBorder="1" applyAlignment="1">
      <alignment wrapText="1"/>
    </xf>
    <xf numFmtId="0" fontId="26" fillId="0" borderId="23" xfId="10" applyFont="1" applyFill="1" applyBorder="1" applyAlignment="1">
      <alignment horizontal="right" wrapText="1"/>
    </xf>
    <xf numFmtId="0" fontId="2" fillId="9" borderId="32" xfId="1" applyFont="1" applyFill="1" applyBorder="1" applyAlignment="1">
      <alignment horizontal="center" vertical="center"/>
    </xf>
    <xf numFmtId="0" fontId="45" fillId="0" borderId="0" xfId="8" applyFont="1"/>
    <xf numFmtId="0" fontId="25" fillId="0" borderId="0" xfId="10"/>
    <xf numFmtId="0" fontId="46" fillId="0" borderId="23" xfId="8" applyFont="1" applyFill="1" applyBorder="1" applyAlignment="1">
      <alignment wrapText="1"/>
    </xf>
    <xf numFmtId="0" fontId="25" fillId="0" borderId="0" xfId="9" applyFont="1"/>
    <xf numFmtId="0" fontId="2" fillId="9" borderId="35" xfId="1" applyFont="1" applyFill="1" applyBorder="1" applyAlignment="1">
      <alignment horizontal="center" vertical="center"/>
    </xf>
    <xf numFmtId="0" fontId="2" fillId="9" borderId="35" xfId="1" applyFont="1" applyFill="1" applyBorder="1" applyAlignment="1">
      <alignment horizontal="center" vertical="center" wrapText="1"/>
    </xf>
    <xf numFmtId="0" fontId="2" fillId="8" borderId="32" xfId="1" applyFont="1" applyFill="1" applyBorder="1" applyAlignment="1">
      <alignment horizontal="center" vertical="center" wrapText="1"/>
    </xf>
    <xf numFmtId="164" fontId="2" fillId="5" borderId="18" xfId="1" applyNumberFormat="1" applyFont="1" applyFill="1" applyBorder="1" applyAlignment="1">
      <alignment horizontal="center" vertical="center"/>
    </xf>
    <xf numFmtId="3" fontId="45" fillId="0" borderId="0" xfId="1" applyNumberFormat="1" applyFont="1"/>
    <xf numFmtId="0" fontId="47" fillId="0" borderId="0" xfId="1" applyFont="1"/>
    <xf numFmtId="0" fontId="28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8" fillId="0" borderId="0" xfId="1" applyFont="1"/>
    <xf numFmtId="0" fontId="26" fillId="11" borderId="22" xfId="11" applyFont="1" applyFill="1" applyBorder="1" applyAlignment="1">
      <alignment horizontal="center"/>
    </xf>
    <xf numFmtId="0" fontId="26" fillId="11" borderId="22" xfId="12" applyFont="1" applyFill="1" applyBorder="1" applyAlignment="1">
      <alignment horizontal="center"/>
    </xf>
    <xf numFmtId="0" fontId="49" fillId="2" borderId="6" xfId="1" applyFont="1" applyFill="1" applyBorder="1" applyAlignment="1">
      <alignment horizontal="center" vertical="center" wrapText="1"/>
    </xf>
    <xf numFmtId="0" fontId="49" fillId="2" borderId="7" xfId="1" applyFont="1" applyFill="1" applyBorder="1" applyAlignment="1">
      <alignment horizontal="center" vertical="center" wrapText="1"/>
    </xf>
    <xf numFmtId="0" fontId="49" fillId="2" borderId="8" xfId="1" applyFont="1" applyFill="1" applyBorder="1" applyAlignment="1">
      <alignment horizontal="center" vertical="center" wrapText="1"/>
    </xf>
    <xf numFmtId="0" fontId="49" fillId="2" borderId="9" xfId="1" applyFont="1" applyFill="1" applyBorder="1" applyAlignment="1">
      <alignment horizontal="center" vertical="center" wrapText="1"/>
    </xf>
    <xf numFmtId="0" fontId="26" fillId="0" borderId="23" xfId="11" applyFont="1" applyFill="1" applyBorder="1" applyAlignment="1">
      <alignment horizontal="right" wrapText="1"/>
    </xf>
    <xf numFmtId="0" fontId="26" fillId="0" borderId="23" xfId="12" applyFont="1" applyFill="1" applyBorder="1" applyAlignment="1">
      <alignment horizontal="right" wrapText="1"/>
    </xf>
    <xf numFmtId="0" fontId="2" fillId="4" borderId="10" xfId="1" applyFont="1" applyFill="1" applyBorder="1" applyAlignment="1">
      <alignment horizontal="center" vertical="center"/>
    </xf>
    <xf numFmtId="164" fontId="33" fillId="0" borderId="0" xfId="1" applyNumberFormat="1" applyFont="1" applyBorder="1"/>
    <xf numFmtId="3" fontId="33" fillId="0" borderId="0" xfId="1" applyNumberFormat="1" applyFont="1"/>
    <xf numFmtId="164" fontId="33" fillId="0" borderId="0" xfId="1" applyNumberFormat="1" applyFont="1"/>
    <xf numFmtId="0" fontId="50" fillId="0" borderId="23" xfId="5" applyFont="1" applyFill="1" applyBorder="1" applyAlignment="1">
      <alignment horizontal="right" wrapText="1"/>
    </xf>
    <xf numFmtId="0" fontId="33" fillId="0" borderId="0" xfId="1" applyFont="1"/>
    <xf numFmtId="0" fontId="50" fillId="0" borderId="23" xfId="12" applyFont="1" applyFill="1" applyBorder="1" applyAlignment="1">
      <alignment horizontal="right" wrapText="1"/>
    </xf>
    <xf numFmtId="0" fontId="2" fillId="6" borderId="15" xfId="1" applyFont="1" applyFill="1" applyBorder="1" applyAlignment="1">
      <alignment horizontal="center" vertical="center"/>
    </xf>
    <xf numFmtId="0" fontId="51" fillId="0" borderId="0" xfId="5" applyFont="1"/>
    <xf numFmtId="0" fontId="2" fillId="7" borderId="15" xfId="1" applyFont="1" applyFill="1" applyBorder="1" applyAlignment="1">
      <alignment horizontal="center" vertical="center"/>
    </xf>
    <xf numFmtId="0" fontId="50" fillId="0" borderId="23" xfId="5" applyFont="1" applyFill="1" applyBorder="1" applyAlignment="1">
      <alignment wrapText="1"/>
    </xf>
    <xf numFmtId="0" fontId="26" fillId="0" borderId="0" xfId="11" applyFont="1" applyFill="1" applyBorder="1" applyAlignment="1">
      <alignment horizontal="right" wrapText="1"/>
    </xf>
    <xf numFmtId="0" fontId="25" fillId="0" borderId="0" xfId="11"/>
    <xf numFmtId="0" fontId="26" fillId="0" borderId="0" xfId="12" applyFont="1" applyFill="1" applyBorder="1" applyAlignment="1">
      <alignment horizontal="right" wrapText="1"/>
    </xf>
    <xf numFmtId="0" fontId="51" fillId="0" borderId="0" xfId="12" applyFont="1"/>
    <xf numFmtId="0" fontId="2" fillId="3" borderId="15" xfId="1" applyFont="1" applyFill="1" applyBorder="1" applyAlignment="1">
      <alignment horizontal="center" vertical="center"/>
    </xf>
    <xf numFmtId="0" fontId="2" fillId="8" borderId="15" xfId="1" applyFont="1" applyFill="1" applyBorder="1" applyAlignment="1">
      <alignment horizontal="center" vertical="center"/>
    </xf>
    <xf numFmtId="0" fontId="50" fillId="0" borderId="0" xfId="12" applyFont="1" applyFill="1" applyBorder="1" applyAlignment="1">
      <alignment horizontal="right" wrapText="1"/>
    </xf>
    <xf numFmtId="0" fontId="2" fillId="10" borderId="15" xfId="1" applyFont="1" applyFill="1" applyBorder="1" applyAlignment="1">
      <alignment horizontal="center" vertical="center"/>
    </xf>
    <xf numFmtId="0" fontId="25" fillId="0" borderId="0" xfId="12"/>
    <xf numFmtId="0" fontId="1" fillId="0" borderId="0" xfId="1" applyFont="1" applyAlignment="1">
      <alignment horizontal="center" vertical="center"/>
    </xf>
    <xf numFmtId="0" fontId="35" fillId="0" borderId="0" xfId="1" applyFont="1" applyBorder="1" applyAlignment="1">
      <alignment horizontal="center"/>
    </xf>
    <xf numFmtId="0" fontId="38" fillId="0" borderId="0" xfId="1" applyFont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53" fillId="3" borderId="60" xfId="1" applyFont="1" applyFill="1" applyBorder="1" applyAlignment="1">
      <alignment horizontal="center" vertical="center" wrapText="1"/>
    </xf>
    <xf numFmtId="1" fontId="53" fillId="3" borderId="90" xfId="1" applyNumberFormat="1" applyFont="1" applyFill="1" applyBorder="1" applyAlignment="1">
      <alignment horizontal="center" vertical="center" wrapText="1"/>
    </xf>
    <xf numFmtId="0" fontId="53" fillId="3" borderId="91" xfId="1" applyFont="1" applyFill="1" applyBorder="1" applyAlignment="1">
      <alignment horizontal="center" vertical="center" wrapText="1"/>
    </xf>
    <xf numFmtId="0" fontId="54" fillId="3" borderId="92" xfId="1" applyFont="1" applyFill="1" applyBorder="1" applyAlignment="1">
      <alignment horizontal="center" vertical="center" wrapText="1"/>
    </xf>
    <xf numFmtId="0" fontId="2" fillId="8" borderId="93" xfId="1" applyFont="1" applyFill="1" applyBorder="1" applyAlignment="1">
      <alignment horizontal="center" vertical="center"/>
    </xf>
    <xf numFmtId="3" fontId="2" fillId="0" borderId="22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3" fontId="2" fillId="0" borderId="63" xfId="1" applyNumberFormat="1" applyFont="1" applyBorder="1" applyAlignment="1">
      <alignment horizontal="center" vertical="center"/>
    </xf>
    <xf numFmtId="164" fontId="37" fillId="0" borderId="14" xfId="1" applyNumberFormat="1" applyFont="1" applyBorder="1" applyAlignment="1">
      <alignment horizontal="center" vertical="center"/>
    </xf>
    <xf numFmtId="0" fontId="2" fillId="6" borderId="94" xfId="1" applyFont="1" applyFill="1" applyBorder="1" applyAlignment="1">
      <alignment horizontal="center" vertical="center"/>
    </xf>
    <xf numFmtId="164" fontId="37" fillId="0" borderId="95" xfId="1" applyNumberFormat="1" applyFont="1" applyBorder="1" applyAlignment="1">
      <alignment horizontal="center" vertical="center"/>
    </xf>
    <xf numFmtId="0" fontId="2" fillId="3" borderId="96" xfId="1" applyFont="1" applyFill="1" applyBorder="1" applyAlignment="1">
      <alignment horizontal="center" vertical="center"/>
    </xf>
    <xf numFmtId="164" fontId="37" fillId="0" borderId="97" xfId="1" applyNumberFormat="1" applyFont="1" applyBorder="1" applyAlignment="1">
      <alignment horizontal="center" vertical="center"/>
    </xf>
    <xf numFmtId="0" fontId="2" fillId="30" borderId="98" xfId="1" applyFont="1" applyFill="1" applyBorder="1" applyAlignment="1">
      <alignment horizontal="center" vertical="center"/>
    </xf>
    <xf numFmtId="164" fontId="37" fillId="0" borderId="0" xfId="1" applyNumberFormat="1" applyFont="1" applyFill="1" applyBorder="1" applyAlignment="1">
      <alignment horizontal="center" vertical="center"/>
    </xf>
    <xf numFmtId="0" fontId="2" fillId="31" borderId="98" xfId="1" applyFont="1" applyFill="1" applyBorder="1" applyAlignment="1">
      <alignment horizontal="center" vertical="center"/>
    </xf>
    <xf numFmtId="0" fontId="2" fillId="32" borderId="99" xfId="1" applyFont="1" applyFill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33" borderId="99" xfId="1" applyFont="1" applyFill="1" applyBorder="1" applyAlignment="1">
      <alignment horizontal="center" vertical="center"/>
    </xf>
    <xf numFmtId="0" fontId="2" fillId="0" borderId="100" xfId="1" applyFont="1" applyBorder="1" applyAlignment="1">
      <alignment horizontal="center" vertical="center"/>
    </xf>
    <xf numFmtId="0" fontId="2" fillId="0" borderId="95" xfId="1" applyFont="1" applyBorder="1" applyAlignment="1">
      <alignment horizontal="center" vertical="center"/>
    </xf>
    <xf numFmtId="3" fontId="2" fillId="0" borderId="101" xfId="1" applyNumberFormat="1" applyFont="1" applyBorder="1" applyAlignment="1">
      <alignment horizontal="center" vertical="center"/>
    </xf>
    <xf numFmtId="3" fontId="2" fillId="0" borderId="95" xfId="1" applyNumberFormat="1" applyFont="1" applyBorder="1" applyAlignment="1">
      <alignment horizontal="center" vertical="center"/>
    </xf>
    <xf numFmtId="0" fontId="2" fillId="34" borderId="99" xfId="1" applyFont="1" applyFill="1" applyBorder="1" applyAlignment="1">
      <alignment horizontal="center" vertical="center"/>
    </xf>
    <xf numFmtId="3" fontId="2" fillId="35" borderId="99" xfId="1" applyNumberFormat="1" applyFont="1" applyFill="1" applyBorder="1" applyAlignment="1">
      <alignment horizontal="center" vertical="center"/>
    </xf>
    <xf numFmtId="0" fontId="2" fillId="35" borderId="99" xfId="1" applyFont="1" applyFill="1" applyBorder="1" applyAlignment="1">
      <alignment horizontal="center" vertical="center"/>
    </xf>
    <xf numFmtId="165" fontId="8" fillId="0" borderId="0" xfId="1" applyNumberFormat="1"/>
    <xf numFmtId="0" fontId="38" fillId="0" borderId="0" xfId="1" applyFont="1" applyAlignment="1"/>
    <xf numFmtId="0" fontId="55" fillId="0" borderId="0" xfId="1" applyFont="1"/>
    <xf numFmtId="0" fontId="26" fillId="11" borderId="22" xfId="13" applyFont="1" applyFill="1" applyBorder="1" applyAlignment="1">
      <alignment horizontal="center"/>
    </xf>
    <xf numFmtId="0" fontId="26" fillId="0" borderId="23" xfId="13" applyFont="1" applyFill="1" applyBorder="1" applyAlignment="1">
      <alignment horizontal="right" wrapText="1"/>
    </xf>
    <xf numFmtId="0" fontId="25" fillId="0" borderId="0" xfId="13"/>
    <xf numFmtId="0" fontId="26" fillId="0" borderId="0" xfId="13" applyFont="1" applyFill="1" applyBorder="1" applyAlignment="1">
      <alignment horizontal="right" wrapText="1"/>
    </xf>
    <xf numFmtId="0" fontId="57" fillId="0" borderId="81" xfId="0" applyFont="1" applyBorder="1" applyAlignment="1">
      <alignment horizontal="center" vertical="center" wrapText="1"/>
    </xf>
    <xf numFmtId="0" fontId="58" fillId="0" borderId="82" xfId="0" applyFont="1" applyBorder="1" applyAlignment="1">
      <alignment horizontal="center" vertical="center" wrapText="1"/>
    </xf>
    <xf numFmtId="0" fontId="59" fillId="0" borderId="82" xfId="0" applyFont="1" applyBorder="1" applyAlignment="1">
      <alignment horizontal="center" vertical="center" wrapText="1"/>
    </xf>
    <xf numFmtId="0" fontId="60" fillId="0" borderId="102" xfId="0" applyFont="1" applyBorder="1" applyAlignment="1">
      <alignment horizontal="center" vertical="center" wrapText="1"/>
    </xf>
    <xf numFmtId="0" fontId="56" fillId="0" borderId="83" xfId="0" applyFont="1" applyBorder="1" applyAlignment="1">
      <alignment horizontal="center" vertical="center" wrapText="1"/>
    </xf>
    <xf numFmtId="0" fontId="61" fillId="0" borderId="84" xfId="0" applyFont="1" applyBorder="1" applyAlignment="1">
      <alignment horizontal="center" vertical="center" wrapText="1"/>
    </xf>
    <xf numFmtId="0" fontId="56" fillId="0" borderId="80" xfId="0" applyFont="1" applyBorder="1" applyAlignment="1">
      <alignment horizontal="center" vertical="center" wrapText="1"/>
    </xf>
    <xf numFmtId="0" fontId="56" fillId="0" borderId="84" xfId="0" applyFont="1" applyBorder="1" applyAlignment="1">
      <alignment horizontal="center" vertical="center" wrapText="1"/>
    </xf>
    <xf numFmtId="0" fontId="61" fillId="0" borderId="102" xfId="0" applyFont="1" applyBorder="1" applyAlignment="1">
      <alignment horizontal="center" vertical="center" wrapText="1"/>
    </xf>
    <xf numFmtId="0" fontId="61" fillId="0" borderId="80" xfId="0" applyFont="1" applyBorder="1" applyAlignment="1">
      <alignment horizontal="center" vertical="center" wrapText="1"/>
    </xf>
    <xf numFmtId="0" fontId="61" fillId="0" borderId="83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61" fillId="0" borderId="84" xfId="0" applyFont="1" applyBorder="1" applyAlignment="1">
      <alignment horizontal="right" vertical="center" wrapText="1"/>
    </xf>
    <xf numFmtId="0" fontId="26" fillId="11" borderId="22" xfId="14" applyFont="1" applyFill="1" applyBorder="1" applyAlignment="1">
      <alignment horizontal="center"/>
    </xf>
    <xf numFmtId="0" fontId="26" fillId="0" borderId="23" xfId="14" applyFont="1" applyFill="1" applyBorder="1" applyAlignment="1">
      <alignment wrapText="1"/>
    </xf>
    <xf numFmtId="0" fontId="26" fillId="0" borderId="23" xfId="14" applyFont="1" applyFill="1" applyBorder="1" applyAlignment="1">
      <alignment horizontal="right" wrapText="1"/>
    </xf>
    <xf numFmtId="0" fontId="25" fillId="0" borderId="0" xfId="14"/>
    <xf numFmtId="3" fontId="62" fillId="0" borderId="29" xfId="1" applyNumberFormat="1" applyFont="1" applyBorder="1" applyAlignment="1">
      <alignment horizontal="center" vertical="center" wrapText="1"/>
    </xf>
    <xf numFmtId="3" fontId="62" fillId="0" borderId="29" xfId="1" applyNumberFormat="1" applyFont="1" applyBorder="1" applyAlignment="1">
      <alignment horizontal="center" vertical="top" wrapText="1"/>
    </xf>
    <xf numFmtId="0" fontId="61" fillId="0" borderId="0" xfId="1" applyFont="1"/>
    <xf numFmtId="0" fontId="26" fillId="11" borderId="22" xfId="14" applyFont="1" applyFill="1" applyBorder="1" applyAlignment="1">
      <alignment horizontal="center" wrapText="1"/>
    </xf>
    <xf numFmtId="3" fontId="2" fillId="36" borderId="11" xfId="1" applyNumberFormat="1" applyFont="1" applyFill="1" applyBorder="1" applyAlignment="1">
      <alignment horizontal="center" vertical="center"/>
    </xf>
    <xf numFmtId="3" fontId="2" fillId="36" borderId="12" xfId="1" applyNumberFormat="1" applyFont="1" applyFill="1" applyBorder="1" applyAlignment="1">
      <alignment horizontal="center" vertical="center"/>
    </xf>
    <xf numFmtId="164" fontId="2" fillId="36" borderId="86" xfId="1" applyNumberFormat="1" applyFont="1" applyFill="1" applyBorder="1" applyAlignment="1">
      <alignment horizontal="center" vertical="center"/>
    </xf>
    <xf numFmtId="164" fontId="2" fillId="36" borderId="14" xfId="1" applyNumberFormat="1" applyFont="1" applyFill="1" applyBorder="1" applyAlignment="1">
      <alignment horizontal="center" vertical="center"/>
    </xf>
    <xf numFmtId="3" fontId="2" fillId="36" borderId="87" xfId="1" applyNumberFormat="1" applyFont="1" applyFill="1" applyBorder="1" applyAlignment="1">
      <alignment horizontal="center" vertical="center"/>
    </xf>
    <xf numFmtId="3" fontId="2" fillId="36" borderId="16" xfId="1" applyNumberFormat="1" applyFont="1" applyFill="1" applyBorder="1" applyAlignment="1">
      <alignment horizontal="center" vertical="center"/>
    </xf>
    <xf numFmtId="3" fontId="2" fillId="36" borderId="88" xfId="1" applyNumberFormat="1" applyFont="1" applyFill="1" applyBorder="1" applyAlignment="1">
      <alignment horizontal="center" vertical="center"/>
    </xf>
    <xf numFmtId="3" fontId="2" fillId="36" borderId="89" xfId="1" applyNumberFormat="1" applyFont="1" applyFill="1" applyBorder="1" applyAlignment="1">
      <alignment horizontal="center" vertical="center"/>
    </xf>
    <xf numFmtId="0" fontId="2" fillId="0" borderId="105" xfId="1" applyFont="1" applyBorder="1" applyAlignment="1">
      <alignment horizontal="center" vertical="center" wrapText="1"/>
    </xf>
    <xf numFmtId="0" fontId="1" fillId="0" borderId="106" xfId="1" applyFont="1" applyBorder="1" applyAlignment="1">
      <alignment horizontal="center" vertical="center" wrapText="1"/>
    </xf>
    <xf numFmtId="0" fontId="43" fillId="0" borderId="106" xfId="1" applyFont="1" applyBorder="1" applyAlignment="1">
      <alignment horizontal="center" vertical="center" wrapText="1"/>
    </xf>
    <xf numFmtId="0" fontId="2" fillId="0" borderId="107" xfId="1" applyFont="1" applyBorder="1" applyAlignment="1">
      <alignment horizontal="center" vertical="center" wrapText="1"/>
    </xf>
    <xf numFmtId="0" fontId="1" fillId="0" borderId="108" xfId="1" applyFont="1" applyBorder="1" applyAlignment="1">
      <alignment horizontal="center"/>
    </xf>
    <xf numFmtId="0" fontId="1" fillId="0" borderId="109" xfId="1" applyFont="1" applyBorder="1" applyAlignment="1">
      <alignment horizontal="center"/>
    </xf>
    <xf numFmtId="0" fontId="2" fillId="0" borderId="84" xfId="1" applyFont="1" applyBorder="1" applyAlignment="1">
      <alignment horizontal="center" vertical="center" wrapText="1"/>
    </xf>
    <xf numFmtId="0" fontId="2" fillId="0" borderId="106" xfId="1" applyFont="1" applyBorder="1" applyAlignment="1">
      <alignment horizontal="center" vertical="center" wrapText="1"/>
    </xf>
    <xf numFmtId="0" fontId="2" fillId="0" borderId="107" xfId="1" applyFont="1" applyBorder="1" applyAlignment="1">
      <alignment horizontal="center"/>
    </xf>
    <xf numFmtId="0" fontId="2" fillId="0" borderId="108" xfId="1" applyFont="1" applyBorder="1" applyAlignment="1">
      <alignment horizontal="center"/>
    </xf>
    <xf numFmtId="0" fontId="2" fillId="0" borderId="109" xfId="1" applyFont="1" applyBorder="1" applyAlignment="1">
      <alignment horizontal="center"/>
    </xf>
    <xf numFmtId="0" fontId="65" fillId="38" borderId="110" xfId="0" applyFont="1" applyFill="1" applyBorder="1" applyAlignment="1">
      <alignment horizontal="center" vertical="center" wrapText="1"/>
    </xf>
    <xf numFmtId="0" fontId="56" fillId="37" borderId="111" xfId="0" applyFont="1" applyFill="1" applyBorder="1" applyAlignment="1">
      <alignment horizontal="right" vertical="center" wrapText="1"/>
    </xf>
    <xf numFmtId="0" fontId="66" fillId="37" borderId="111" xfId="0" applyFont="1" applyFill="1" applyBorder="1" applyAlignment="1">
      <alignment horizontal="right" vertical="center" wrapText="1"/>
    </xf>
    <xf numFmtId="0" fontId="65" fillId="38" borderId="112" xfId="0" applyFont="1" applyFill="1" applyBorder="1" applyAlignment="1">
      <alignment horizontal="center" vertical="center" wrapText="1"/>
    </xf>
    <xf numFmtId="0" fontId="65" fillId="38" borderId="113" xfId="0" applyFont="1" applyFill="1" applyBorder="1" applyAlignment="1">
      <alignment horizontal="center" vertical="center" wrapText="1"/>
    </xf>
    <xf numFmtId="0" fontId="66" fillId="37" borderId="114" xfId="0" applyFont="1" applyFill="1" applyBorder="1" applyAlignment="1">
      <alignment vertical="center" wrapText="1"/>
    </xf>
    <xf numFmtId="0" fontId="66" fillId="37" borderId="115" xfId="0" applyFont="1" applyFill="1" applyBorder="1" applyAlignment="1">
      <alignment horizontal="right" vertical="center" wrapText="1"/>
    </xf>
    <xf numFmtId="0" fontId="66" fillId="37" borderId="116" xfId="0" applyFont="1" applyFill="1" applyBorder="1" applyAlignment="1">
      <alignment vertical="center" wrapText="1"/>
    </xf>
    <xf numFmtId="0" fontId="66" fillId="37" borderId="117" xfId="0" applyFont="1" applyFill="1" applyBorder="1" applyAlignment="1">
      <alignment horizontal="right" vertical="center" wrapText="1"/>
    </xf>
    <xf numFmtId="0" fontId="66" fillId="37" borderId="118" xfId="0" applyFont="1" applyFill="1" applyBorder="1" applyAlignment="1">
      <alignment horizontal="right" vertical="center" wrapText="1"/>
    </xf>
    <xf numFmtId="0" fontId="65" fillId="38" borderId="122" xfId="0" applyFont="1" applyFill="1" applyBorder="1" applyAlignment="1">
      <alignment horizontal="center" vertical="center" wrapText="1"/>
    </xf>
    <xf numFmtId="0" fontId="66" fillId="37" borderId="123" xfId="0" applyFont="1" applyFill="1" applyBorder="1" applyAlignment="1">
      <alignment vertical="center" wrapText="1"/>
    </xf>
    <xf numFmtId="0" fontId="65" fillId="38" borderId="124" xfId="0" applyFont="1" applyFill="1" applyBorder="1" applyAlignment="1">
      <alignment horizontal="center" vertical="center" wrapText="1"/>
    </xf>
    <xf numFmtId="0" fontId="66" fillId="37" borderId="125" xfId="0" applyFont="1" applyFill="1" applyBorder="1" applyAlignment="1">
      <alignment horizontal="right" vertical="center" wrapText="1"/>
    </xf>
    <xf numFmtId="0" fontId="56" fillId="37" borderId="125" xfId="0" applyFont="1" applyFill="1" applyBorder="1" applyAlignment="1">
      <alignment horizontal="right" vertical="center" wrapText="1"/>
    </xf>
    <xf numFmtId="0" fontId="66" fillId="37" borderId="126" xfId="0" applyFont="1" applyFill="1" applyBorder="1" applyAlignment="1">
      <alignment horizontal="right" vertical="center" wrapText="1"/>
    </xf>
    <xf numFmtId="0" fontId="64" fillId="38" borderId="119" xfId="0" applyFont="1" applyFill="1" applyBorder="1" applyAlignment="1">
      <alignment vertical="center" wrapText="1"/>
    </xf>
    <xf numFmtId="0" fontId="64" fillId="38" borderId="120" xfId="0" applyFont="1" applyFill="1" applyBorder="1" applyAlignment="1">
      <alignment vertical="center" wrapText="1"/>
    </xf>
    <xf numFmtId="0" fontId="64" fillId="38" borderId="121" xfId="0" applyFont="1" applyFill="1" applyBorder="1" applyAlignment="1">
      <alignment vertical="center" wrapText="1"/>
    </xf>
    <xf numFmtId="165" fontId="64" fillId="38" borderId="120" xfId="0" applyNumberFormat="1" applyFont="1" applyFill="1" applyBorder="1" applyAlignment="1">
      <alignment vertical="center" wrapText="1"/>
    </xf>
    <xf numFmtId="165" fontId="65" fillId="38" borderId="124" xfId="0" applyNumberFormat="1" applyFont="1" applyFill="1" applyBorder="1" applyAlignment="1">
      <alignment horizontal="center" vertical="center" wrapText="1"/>
    </xf>
    <xf numFmtId="165" fontId="66" fillId="37" borderId="125" xfId="0" applyNumberFormat="1" applyFont="1" applyFill="1" applyBorder="1" applyAlignment="1">
      <alignment horizontal="right" vertical="center" wrapText="1"/>
    </xf>
    <xf numFmtId="165" fontId="66" fillId="37" borderId="126" xfId="0" applyNumberFormat="1" applyFont="1" applyFill="1" applyBorder="1" applyAlignment="1">
      <alignment horizontal="right" vertical="center" wrapText="1"/>
    </xf>
    <xf numFmtId="165" fontId="65" fillId="38" borderId="110" xfId="0" applyNumberFormat="1" applyFont="1" applyFill="1" applyBorder="1" applyAlignment="1">
      <alignment horizontal="center" vertical="center" wrapText="1"/>
    </xf>
    <xf numFmtId="165" fontId="66" fillId="37" borderId="111" xfId="0" applyNumberFormat="1" applyFont="1" applyFill="1" applyBorder="1" applyAlignment="1">
      <alignment horizontal="right" vertical="center" wrapText="1"/>
    </xf>
    <xf numFmtId="165" fontId="56" fillId="37" borderId="111" xfId="0" applyNumberFormat="1" applyFont="1" applyFill="1" applyBorder="1" applyAlignment="1">
      <alignment horizontal="right" vertical="center" wrapText="1"/>
    </xf>
    <xf numFmtId="165" fontId="66" fillId="37" borderId="117" xfId="0" applyNumberFormat="1" applyFont="1" applyFill="1" applyBorder="1" applyAlignment="1">
      <alignment horizontal="right" vertical="center" wrapText="1"/>
    </xf>
    <xf numFmtId="0" fontId="56" fillId="37" borderId="115" xfId="0" applyFont="1" applyFill="1" applyBorder="1" applyAlignment="1">
      <alignment horizontal="right" vertical="center" wrapText="1"/>
    </xf>
    <xf numFmtId="0" fontId="56" fillId="37" borderId="117" xfId="0" applyFont="1" applyFill="1" applyBorder="1" applyAlignment="1">
      <alignment horizontal="right" vertical="center" wrapText="1"/>
    </xf>
    <xf numFmtId="3" fontId="2" fillId="39" borderId="18" xfId="1" applyNumberFormat="1" applyFont="1" applyFill="1" applyBorder="1" applyAlignment="1">
      <alignment horizontal="center" vertical="center"/>
    </xf>
    <xf numFmtId="0" fontId="64" fillId="38" borderId="127" xfId="0" applyFont="1" applyFill="1" applyBorder="1" applyAlignment="1">
      <alignment vertical="center" wrapText="1"/>
    </xf>
    <xf numFmtId="0" fontId="64" fillId="38" borderId="128" xfId="0" applyFont="1" applyFill="1" applyBorder="1" applyAlignment="1">
      <alignment vertical="center" wrapText="1"/>
    </xf>
    <xf numFmtId="0" fontId="64" fillId="38" borderId="122" xfId="0" applyFont="1" applyFill="1" applyBorder="1" applyAlignment="1">
      <alignment vertical="center" wrapText="1"/>
    </xf>
    <xf numFmtId="0" fontId="66" fillId="37" borderId="129" xfId="0" applyFont="1" applyFill="1" applyBorder="1" applyAlignment="1">
      <alignment vertical="center" wrapText="1"/>
    </xf>
    <xf numFmtId="0" fontId="65" fillId="38" borderId="128" xfId="0" applyFont="1" applyFill="1" applyBorder="1" applyAlignment="1">
      <alignment horizontal="center" vertical="center" wrapText="1"/>
    </xf>
    <xf numFmtId="0" fontId="66" fillId="37" borderId="130" xfId="0" applyFont="1" applyFill="1" applyBorder="1" applyAlignment="1">
      <alignment vertical="center" wrapText="1"/>
    </xf>
    <xf numFmtId="0" fontId="66" fillId="37" borderId="129" xfId="0" applyFont="1" applyFill="1" applyBorder="1" applyAlignment="1">
      <alignment horizontal="right" vertical="center" wrapText="1"/>
    </xf>
    <xf numFmtId="164" fontId="2" fillId="5" borderId="131" xfId="1" applyNumberFormat="1" applyFont="1" applyFill="1" applyBorder="1" applyAlignment="1">
      <alignment horizontal="center" vertical="center"/>
    </xf>
    <xf numFmtId="164" fontId="2" fillId="5" borderId="62" xfId="1" applyNumberFormat="1" applyFont="1" applyFill="1" applyBorder="1" applyAlignment="1">
      <alignment horizontal="center" vertical="center"/>
    </xf>
    <xf numFmtId="3" fontId="2" fillId="5" borderId="132" xfId="1" applyNumberFormat="1" applyFont="1" applyFill="1" applyBorder="1" applyAlignment="1">
      <alignment horizontal="center" vertical="center"/>
    </xf>
    <xf numFmtId="0" fontId="65" fillId="37" borderId="114" xfId="0" applyFont="1" applyFill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103" xfId="1" applyFont="1" applyFill="1" applyBorder="1" applyAlignment="1">
      <alignment horizontal="center" vertical="center" wrapText="1"/>
    </xf>
    <xf numFmtId="0" fontId="5" fillId="2" borderId="104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3" fontId="5" fillId="0" borderId="29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5" fillId="13" borderId="28" xfId="1" applyFont="1" applyFill="1" applyBorder="1" applyAlignment="1">
      <alignment horizontal="center" vertical="center" wrapText="1"/>
    </xf>
    <xf numFmtId="0" fontId="5" fillId="13" borderId="31" xfId="1" applyFont="1" applyFill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0" fontId="5" fillId="13" borderId="28" xfId="1" applyFont="1" applyFill="1" applyBorder="1" applyAlignment="1">
      <alignment horizontal="left" vertical="center" wrapText="1"/>
    </xf>
    <xf numFmtId="0" fontId="5" fillId="13" borderId="31" xfId="1" applyFont="1" applyFill="1" applyBorder="1" applyAlignment="1">
      <alignment horizontal="left" vertical="center" wrapText="1"/>
    </xf>
    <xf numFmtId="3" fontId="5" fillId="0" borderId="36" xfId="1" applyNumberFormat="1" applyFont="1" applyBorder="1" applyAlignment="1">
      <alignment horizontal="center" vertical="center" wrapText="1"/>
    </xf>
    <xf numFmtId="3" fontId="6" fillId="0" borderId="37" xfId="1" applyNumberFormat="1" applyFont="1" applyFill="1" applyBorder="1" applyAlignment="1">
      <alignment horizontal="center" vertical="center" wrapText="1"/>
    </xf>
    <xf numFmtId="0" fontId="5" fillId="13" borderId="32" xfId="1" applyFont="1" applyFill="1" applyBorder="1" applyAlignment="1">
      <alignment horizontal="left" vertical="center" wrapText="1"/>
    </xf>
    <xf numFmtId="3" fontId="5" fillId="0" borderId="33" xfId="1" applyNumberFormat="1" applyFont="1" applyBorder="1" applyAlignment="1">
      <alignment horizontal="center" vertical="center" wrapText="1"/>
    </xf>
    <xf numFmtId="3" fontId="6" fillId="0" borderId="34" xfId="1" applyNumberFormat="1" applyFont="1" applyFill="1" applyBorder="1" applyAlignment="1">
      <alignment horizontal="center" vertical="center" wrapText="1"/>
    </xf>
    <xf numFmtId="0" fontId="5" fillId="13" borderId="35" xfId="1" applyFont="1" applyFill="1" applyBorder="1" applyAlignment="1">
      <alignment horizontal="left" vertical="center" wrapText="1"/>
    </xf>
    <xf numFmtId="3" fontId="5" fillId="0" borderId="39" xfId="1" applyNumberFormat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5" fillId="13" borderId="41" xfId="1" applyFont="1" applyFill="1" applyBorder="1" applyAlignment="1">
      <alignment horizontal="center" vertical="center" wrapText="1"/>
    </xf>
    <xf numFmtId="3" fontId="14" fillId="0" borderId="48" xfId="1" applyNumberFormat="1" applyFont="1" applyBorder="1" applyAlignment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39" fillId="0" borderId="0" xfId="1" applyFont="1" applyAlignment="1">
      <alignment horizontal="center"/>
    </xf>
    <xf numFmtId="0" fontId="39" fillId="0" borderId="0" xfId="1" applyFont="1" applyAlignment="1">
      <alignment horizontal="center" wrapText="1"/>
    </xf>
    <xf numFmtId="0" fontId="40" fillId="0" borderId="80" xfId="1" applyFont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40" fillId="0" borderId="0" xfId="1" applyFont="1" applyAlignment="1">
      <alignment horizontal="center"/>
    </xf>
    <xf numFmtId="0" fontId="38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6" fillId="0" borderId="48" xfId="1" applyFont="1" applyBorder="1" applyAlignment="1">
      <alignment horizontal="left" wrapText="1"/>
    </xf>
    <xf numFmtId="0" fontId="63" fillId="0" borderId="0" xfId="1" applyFont="1" applyAlignment="1">
      <alignment horizontal="left" wrapText="1"/>
    </xf>
    <xf numFmtId="0" fontId="35" fillId="0" borderId="0" xfId="1" applyFont="1" applyBorder="1" applyAlignment="1">
      <alignment horizontal="center"/>
    </xf>
    <xf numFmtId="0" fontId="37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7" fillId="0" borderId="48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20" fillId="0" borderId="49" xfId="1" applyFont="1" applyBorder="1" applyAlignment="1">
      <alignment horizontal="center" vertical="center"/>
    </xf>
    <xf numFmtId="0" fontId="17" fillId="2" borderId="24" xfId="1" applyFont="1" applyFill="1" applyBorder="1" applyAlignment="1">
      <alignment horizontal="center" vertical="center" wrapText="1"/>
    </xf>
    <xf numFmtId="0" fontId="22" fillId="2" borderId="50" xfId="1" applyFont="1" applyFill="1" applyBorder="1" applyAlignment="1">
      <alignment horizontal="center" vertical="center" wrapText="1"/>
    </xf>
    <xf numFmtId="0" fontId="17" fillId="2" borderId="51" xfId="1" applyFont="1" applyFill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/>
    </xf>
    <xf numFmtId="0" fontId="44" fillId="0" borderId="0" xfId="1" applyFont="1" applyBorder="1" applyAlignment="1">
      <alignment horizontal="center" vertical="center"/>
    </xf>
    <xf numFmtId="0" fontId="37" fillId="2" borderId="24" xfId="1" applyFont="1" applyFill="1" applyBorder="1" applyAlignment="1">
      <alignment horizontal="center" vertical="center" wrapText="1"/>
    </xf>
    <xf numFmtId="0" fontId="37" fillId="2" borderId="31" xfId="1" applyFont="1" applyFill="1" applyBorder="1" applyAlignment="1">
      <alignment horizontal="center" vertical="center" wrapText="1"/>
    </xf>
    <xf numFmtId="0" fontId="37" fillId="3" borderId="85" xfId="1" applyFont="1" applyFill="1" applyBorder="1" applyAlignment="1">
      <alignment horizontal="center" vertical="center"/>
    </xf>
    <xf numFmtId="0" fontId="37" fillId="2" borderId="25" xfId="1" applyFont="1" applyFill="1" applyBorder="1" applyAlignment="1">
      <alignment horizontal="center" vertical="center" wrapText="1"/>
    </xf>
    <xf numFmtId="0" fontId="37" fillId="2" borderId="4" xfId="1" applyFont="1" applyFill="1" applyBorder="1" applyAlignment="1">
      <alignment horizontal="center" vertical="center" wrapText="1"/>
    </xf>
    <xf numFmtId="0" fontId="37" fillId="2" borderId="5" xfId="1" applyFont="1" applyFill="1" applyBorder="1" applyAlignment="1">
      <alignment horizontal="center" vertical="center" wrapText="1"/>
    </xf>
    <xf numFmtId="0" fontId="49" fillId="2" borderId="2" xfId="1" applyFont="1" applyFill="1" applyBorder="1" applyAlignment="1">
      <alignment horizontal="center" vertical="center" wrapText="1"/>
    </xf>
    <xf numFmtId="0" fontId="49" fillId="3" borderId="3" xfId="1" applyFont="1" applyFill="1" applyBorder="1" applyAlignment="1">
      <alignment horizontal="center" vertical="center"/>
    </xf>
    <xf numFmtId="0" fontId="49" fillId="2" borderId="4" xfId="1" applyFont="1" applyFill="1" applyBorder="1" applyAlignment="1">
      <alignment horizontal="center" vertical="center" wrapText="1"/>
    </xf>
    <xf numFmtId="0" fontId="49" fillId="2" borderId="36" xfId="1" applyFont="1" applyFill="1" applyBorder="1" applyAlignment="1">
      <alignment horizontal="center" vertical="center" wrapText="1"/>
    </xf>
    <xf numFmtId="0" fontId="49" fillId="2" borderId="5" xfId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 vertical="center"/>
    </xf>
    <xf numFmtId="0" fontId="8" fillId="0" borderId="0" xfId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52" fillId="0" borderId="0" xfId="1" applyFont="1" applyBorder="1" applyAlignment="1">
      <alignment horizontal="center" vertical="center"/>
    </xf>
    <xf numFmtId="1" fontId="37" fillId="2" borderId="44" xfId="1" applyNumberFormat="1" applyFont="1" applyFill="1" applyBorder="1" applyAlignment="1">
      <alignment horizontal="center" vertical="center" wrapText="1"/>
    </xf>
    <xf numFmtId="1" fontId="37" fillId="2" borderId="47" xfId="1" applyNumberFormat="1" applyFont="1" applyFill="1" applyBorder="1" applyAlignment="1">
      <alignment horizontal="center" vertical="center" wrapText="1"/>
    </xf>
    <xf numFmtId="0" fontId="37" fillId="2" borderId="44" xfId="1" applyFont="1" applyFill="1" applyBorder="1" applyAlignment="1">
      <alignment horizontal="center" vertical="center" wrapText="1"/>
    </xf>
    <xf numFmtId="0" fontId="37" fillId="2" borderId="47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38" fillId="0" borderId="0" xfId="1" applyFont="1" applyAlignment="1">
      <alignment horizontal="center"/>
    </xf>
  </cellXfs>
  <cellStyles count="15">
    <cellStyle name="Collegamento ipertestuale" xfId="4" builtinId="8"/>
    <cellStyle name="Normale" xfId="0" builtinId="0"/>
    <cellStyle name="Normale 2" xfId="1"/>
    <cellStyle name="Normale_T 22" xfId="9"/>
    <cellStyle name="Normale_T 24" xfId="5"/>
    <cellStyle name="Normale_T 3 a" xfId="2"/>
    <cellStyle name="Normale_T1B risultati regionali" xfId="3"/>
    <cellStyle name="Normale_T39 EX T22" xfId="10"/>
    <cellStyle name="Normale_T42B EX T 24_importazioni" xfId="12"/>
    <cellStyle name="Normale_T42C EX T 24_Agg" xfId="7"/>
    <cellStyle name="Normale_T49" xfId="8"/>
    <cellStyle name="Normale_T5 risultati europei" xfId="14"/>
    <cellStyle name="Normale_T53" xfId="11"/>
    <cellStyle name="Normale_T55" xfId="6"/>
    <cellStyle name="Normale_T6 risultati all'import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2400"/>
              <a:t>Analisi della risposta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1"/>
          <c:tx>
            <c:strRef>
              <c:f>'T4 risultati regionali'!$C$9:$H$9</c:f>
              <c:strCache>
                <c:ptCount val="1"/>
                <c:pt idx="0">
                  <c:v>CAMPIONI ANALIZZATI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8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'T4 risultati regionali'!$B$11:$B$31</c:f>
              <c:strCache>
                <c:ptCount val="21"/>
                <c:pt idx="0">
                  <c:v>Abruzzo </c:v>
                </c:pt>
                <c:pt idx="1">
                  <c:v>Basilicata</c:v>
                </c:pt>
                <c:pt idx="2">
                  <c:v>Bolzano (P.A.)</c:v>
                </c:pt>
                <c:pt idx="3">
                  <c:v>Calabria </c:v>
                </c:pt>
                <c:pt idx="4">
                  <c:v>Campania</c:v>
                </c:pt>
                <c:pt idx="5">
                  <c:v>Emilia Romagna</c:v>
                </c:pt>
                <c:pt idx="6">
                  <c:v>Friuli V.G.</c:v>
                </c:pt>
                <c:pt idx="7">
                  <c:v>Lazio</c:v>
                </c:pt>
                <c:pt idx="8">
                  <c:v>Liguria</c:v>
                </c:pt>
                <c:pt idx="9">
                  <c:v>Lombardia</c:v>
                </c:pt>
                <c:pt idx="10">
                  <c:v>Marche</c:v>
                </c:pt>
                <c:pt idx="11">
                  <c:v>Molise</c:v>
                </c:pt>
                <c:pt idx="12">
                  <c:v>Piemonte</c:v>
                </c:pt>
                <c:pt idx="13">
                  <c:v>Puglia</c:v>
                </c:pt>
                <c:pt idx="14">
                  <c:v>Sardegna</c:v>
                </c:pt>
                <c:pt idx="15">
                  <c:v>Sicilia</c:v>
                </c:pt>
                <c:pt idx="16">
                  <c:v>Toscana</c:v>
                </c:pt>
                <c:pt idx="17">
                  <c:v>Trento (P.A.)</c:v>
                </c:pt>
                <c:pt idx="18">
                  <c:v>Umbria</c:v>
                </c:pt>
                <c:pt idx="19">
                  <c:v>Valle d'Aosta</c:v>
                </c:pt>
                <c:pt idx="20">
                  <c:v>Veneto</c:v>
                </c:pt>
              </c:strCache>
            </c:strRef>
          </c:cat>
          <c:val>
            <c:numRef>
              <c:f>'T4 risultati regionali'!$H$11:$H$31</c:f>
              <c:numCache>
                <c:formatCode>#,##0</c:formatCode>
                <c:ptCount val="21"/>
                <c:pt idx="0">
                  <c:v>421</c:v>
                </c:pt>
                <c:pt idx="1">
                  <c:v>160</c:v>
                </c:pt>
                <c:pt idx="2">
                  <c:v>201</c:v>
                </c:pt>
                <c:pt idx="3">
                  <c:v>390</c:v>
                </c:pt>
                <c:pt idx="4">
                  <c:v>683</c:v>
                </c:pt>
                <c:pt idx="5">
                  <c:v>1318</c:v>
                </c:pt>
                <c:pt idx="6">
                  <c:v>175</c:v>
                </c:pt>
                <c:pt idx="7">
                  <c:v>530</c:v>
                </c:pt>
                <c:pt idx="8">
                  <c:v>164</c:v>
                </c:pt>
                <c:pt idx="9">
                  <c:v>479</c:v>
                </c:pt>
                <c:pt idx="10">
                  <c:v>268</c:v>
                </c:pt>
                <c:pt idx="11">
                  <c:v>97</c:v>
                </c:pt>
                <c:pt idx="12">
                  <c:v>413</c:v>
                </c:pt>
                <c:pt idx="13">
                  <c:v>973</c:v>
                </c:pt>
                <c:pt idx="14">
                  <c:v>196</c:v>
                </c:pt>
                <c:pt idx="15">
                  <c:v>1220</c:v>
                </c:pt>
                <c:pt idx="16">
                  <c:v>305</c:v>
                </c:pt>
                <c:pt idx="17">
                  <c:v>87</c:v>
                </c:pt>
                <c:pt idx="18">
                  <c:v>140</c:v>
                </c:pt>
                <c:pt idx="19">
                  <c:v>30</c:v>
                </c:pt>
                <c:pt idx="20">
                  <c:v>585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B4-42E6-93CE-93FEE3FF78D4}"/>
            </c:ext>
          </c:extLst>
        </c:ser>
        <c:axId val="107959808"/>
        <c:axId val="107958272"/>
      </c:barChart>
      <c:lineChart>
        <c:grouping val="stacked"/>
        <c:ser>
          <c:idx val="0"/>
          <c:order val="0"/>
          <c:tx>
            <c:strRef>
              <c:f>'T4 risultati regionali'!$N$10</c:f>
              <c:strCache>
                <c:ptCount val="1"/>
                <c:pt idx="0">
                  <c:v>CAMPIONI EFFETTUATI SU ATTESI</c:v>
                </c:pt>
              </c:strCache>
            </c:strRef>
          </c:tx>
          <c:spPr>
            <a:ln w="12700">
              <a:solidFill>
                <a:srgbClr val="FF0066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0988194718885453E-2"/>
                  <c:y val="-8.8284206773401208E-2"/>
                </c:manualLayout>
              </c:layout>
              <c:tx>
                <c:rich>
                  <a:bodyPr/>
                  <a:lstStyle/>
                  <a:p>
                    <a:fld id="{385E1694-63BB-4884-8BB5-A9741682D35D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D74-468D-B3FA-1449C9CBC30D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74-468D-B3FA-1449C9CBC3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3849C3A-6D7B-423E-A778-42333F460232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D74-468D-B3FA-1449C9CBC30D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74-468D-B3FA-1449C9CBC30D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74-468D-B3FA-1449C9CBC3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59E2A79-89F9-4AEA-AEDC-B5BDF56B85C9}" type="VALUE">
                      <a:rPr lang="en-US"/>
                      <a:pPr/>
                      <a:t>[VALORE]</a:t>
                    </a:fld>
                    <a:r>
                      <a:rPr lang="en-US"/>
                      <a:t> 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D74-468D-B3FA-1449C9CBC30D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74-468D-B3FA-1449C9CBC30D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74-468D-B3FA-1449C9CBC30D}"/>
                </c:ext>
              </c:extLst>
            </c:dLbl>
            <c:dLbl>
              <c:idx val="8"/>
              <c:layout>
                <c:manualLayout>
                  <c:x val="2.8671328671328624E-2"/>
                  <c:y val="-2.5196354392709227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2400" b="1">
                        <a:solidFill>
                          <a:srgbClr val="FF0000"/>
                        </a:solidFill>
                      </a:defRPr>
                    </a:pPr>
                    <a:fld id="{03C98972-C8EC-436B-B5FE-DF192F9C4E0F}" type="VALUE">
                      <a:rPr lang="en-US" sz="2400"/>
                      <a:pPr>
                        <a:defRPr sz="2400" b="1">
                          <a:solidFill>
                            <a:srgbClr val="FF0000"/>
                          </a:solidFill>
                        </a:defRPr>
                      </a:pPr>
                      <a:t>[VALORE]</a:t>
                    </a:fld>
                    <a:r>
                      <a:rPr lang="en-US" sz="2400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0426573426573422E-2"/>
                      <c:h val="3.930708661417322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BD74-468D-B3FA-1449C9CBC30D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74-468D-B3FA-1449C9CBC30D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74-468D-B3FA-1449C9CBC30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572E6CE-305A-4E5F-B7E3-A2FB58D944EF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D74-468D-B3FA-1449C9CBC30D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74-468D-B3FA-1449C9CBC30D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74-468D-B3FA-1449C9CBC30D}"/>
                </c:ext>
              </c:extLst>
            </c:dLbl>
            <c:dLbl>
              <c:idx val="14"/>
              <c:layout>
                <c:manualLayout>
                  <c:x val="-7.2027972027972134E-2"/>
                  <c:y val="-5.9212598425196883E-2"/>
                </c:manualLayout>
              </c:layout>
              <c:tx>
                <c:rich>
                  <a:bodyPr/>
                  <a:lstStyle/>
                  <a:p>
                    <a:fld id="{A5BE3075-5868-401E-A052-53C59F8DE1CC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D74-468D-B3FA-1449C9CBC30D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74-468D-B3FA-1449C9CBC30D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74-468D-B3FA-1449C9CBC30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67BEE78-5D01-4AF6-B701-EFE3F1A4EE23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D74-468D-B3FA-1449C9CBC30D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D74-468D-B3FA-1449C9CBC30D}"/>
                </c:ext>
              </c:extLst>
            </c:dLbl>
            <c:dLbl>
              <c:idx val="1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D74-468D-B3FA-1449C9CBC30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FE6F5A8-ADF8-4AC9-A7B0-0856E1664DF3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BD74-468D-B3FA-1449C9CBC3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'T4 risultati regionali'!$B$11:$B$31</c:f>
              <c:strCache>
                <c:ptCount val="21"/>
                <c:pt idx="0">
                  <c:v>Abruzzo </c:v>
                </c:pt>
                <c:pt idx="1">
                  <c:v>Basilicata</c:v>
                </c:pt>
                <c:pt idx="2">
                  <c:v>Bolzano (P.A.)</c:v>
                </c:pt>
                <c:pt idx="3">
                  <c:v>Calabria </c:v>
                </c:pt>
                <c:pt idx="4">
                  <c:v>Campania</c:v>
                </c:pt>
                <c:pt idx="5">
                  <c:v>Emilia Romagna</c:v>
                </c:pt>
                <c:pt idx="6">
                  <c:v>Friuli V.G.</c:v>
                </c:pt>
                <c:pt idx="7">
                  <c:v>Lazio</c:v>
                </c:pt>
                <c:pt idx="8">
                  <c:v>Liguria</c:v>
                </c:pt>
                <c:pt idx="9">
                  <c:v>Lombardia</c:v>
                </c:pt>
                <c:pt idx="10">
                  <c:v>Marche</c:v>
                </c:pt>
                <c:pt idx="11">
                  <c:v>Molise</c:v>
                </c:pt>
                <c:pt idx="12">
                  <c:v>Piemonte</c:v>
                </c:pt>
                <c:pt idx="13">
                  <c:v>Puglia</c:v>
                </c:pt>
                <c:pt idx="14">
                  <c:v>Sardegna</c:v>
                </c:pt>
                <c:pt idx="15">
                  <c:v>Sicilia</c:v>
                </c:pt>
                <c:pt idx="16">
                  <c:v>Toscana</c:v>
                </c:pt>
                <c:pt idx="17">
                  <c:v>Trento (P.A.)</c:v>
                </c:pt>
                <c:pt idx="18">
                  <c:v>Umbria</c:v>
                </c:pt>
                <c:pt idx="19">
                  <c:v>Valle d'Aosta</c:v>
                </c:pt>
                <c:pt idx="20">
                  <c:v>Veneto</c:v>
                </c:pt>
              </c:strCache>
            </c:strRef>
          </c:cat>
          <c:val>
            <c:numRef>
              <c:f>'T4 risultati regionali'!$N$11:$N$31</c:f>
              <c:numCache>
                <c:formatCode>#,##0</c:formatCode>
                <c:ptCount val="21"/>
                <c:pt idx="0">
                  <c:v>167.72908366533866</c:v>
                </c:pt>
                <c:pt idx="1">
                  <c:v>120.30075187969925</c:v>
                </c:pt>
                <c:pt idx="2">
                  <c:v>199.009900990099</c:v>
                </c:pt>
                <c:pt idx="3">
                  <c:v>153.54330708661416</c:v>
                </c:pt>
                <c:pt idx="4">
                  <c:v>125.09157509157509</c:v>
                </c:pt>
                <c:pt idx="5">
                  <c:v>181.54269972451792</c:v>
                </c:pt>
                <c:pt idx="6">
                  <c:v>201.14942528735634</c:v>
                </c:pt>
                <c:pt idx="7">
                  <c:v>126.19047619047619</c:v>
                </c:pt>
                <c:pt idx="8">
                  <c:v>188.50574712643677</c:v>
                </c:pt>
                <c:pt idx="9">
                  <c:v>110.36866359447004</c:v>
                </c:pt>
                <c:pt idx="10">
                  <c:v>120.17937219730941</c:v>
                </c:pt>
                <c:pt idx="11">
                  <c:v>138.57142857142856</c:v>
                </c:pt>
                <c:pt idx="12">
                  <c:v>100</c:v>
                </c:pt>
                <c:pt idx="13">
                  <c:v>111.45475372279496</c:v>
                </c:pt>
                <c:pt idx="14">
                  <c:v>135.17241379310346</c:v>
                </c:pt>
                <c:pt idx="15">
                  <c:v>131.18279569892474</c:v>
                </c:pt>
                <c:pt idx="16">
                  <c:v>100.66006600660067</c:v>
                </c:pt>
                <c:pt idx="17">
                  <c:v>108.74999999999999</c:v>
                </c:pt>
                <c:pt idx="18">
                  <c:v>119.65811965811966</c:v>
                </c:pt>
                <c:pt idx="19">
                  <c:v>85.714285714285708</c:v>
                </c:pt>
                <c:pt idx="20">
                  <c:v>117.70623742454728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B4-42E6-93CE-93FEE3FF78D4}"/>
            </c:ext>
          </c:extLst>
        </c:ser>
        <c:marker val="1"/>
        <c:axId val="107473152"/>
        <c:axId val="107471232"/>
      </c:lineChart>
      <c:valAx>
        <c:axId val="107471232"/>
        <c:scaling>
          <c:orientation val="minMax"/>
        </c:scaling>
        <c:axPos val="l"/>
        <c:majorGridlines/>
        <c:title/>
        <c:numFmt formatCode="#,##0" sourceLinked="1"/>
        <c:majorTickMark val="none"/>
        <c:tickLblPos val="nextTo"/>
        <c:crossAx val="107473152"/>
        <c:crosses val="autoZero"/>
        <c:crossBetween val="between"/>
      </c:valAx>
      <c:catAx>
        <c:axId val="107473152"/>
        <c:scaling>
          <c:orientation val="minMax"/>
        </c:scaling>
        <c:axPos val="b"/>
        <c:numFmt formatCode="General" sourceLinked="1"/>
        <c:majorTickMark val="none"/>
        <c:tickLblPos val="nextTo"/>
        <c:crossAx val="107471232"/>
        <c:crosses val="autoZero"/>
        <c:auto val="1"/>
        <c:lblAlgn val="ctr"/>
        <c:lblOffset val="100"/>
      </c:catAx>
      <c:valAx>
        <c:axId val="107958272"/>
        <c:scaling>
          <c:orientation val="minMax"/>
        </c:scaling>
        <c:axPos val="r"/>
        <c:numFmt formatCode="#,##0" sourceLinked="1"/>
        <c:tickLblPos val="nextTo"/>
        <c:crossAx val="107959808"/>
        <c:crosses val="max"/>
        <c:crossBetween val="between"/>
      </c:valAx>
      <c:catAx>
        <c:axId val="107959808"/>
        <c:scaling>
          <c:orientation val="minMax"/>
        </c:scaling>
        <c:delete val="1"/>
        <c:axPos val="b"/>
        <c:numFmt formatCode="General" sourceLinked="1"/>
        <c:tickLblPos val="nextTo"/>
        <c:crossAx val="107958272"/>
        <c:crosses val="autoZero"/>
        <c:auto val="1"/>
        <c:lblAlgn val="ctr"/>
        <c:lblOffset val="100"/>
      </c:catAx>
      <c:spPr>
        <a:gradFill rotWithShape="0">
          <a:gsLst>
            <a:gs pos="0">
              <a:srgbClr val="FFFFFF"/>
            </a:gs>
            <a:gs pos="100000">
              <a:srgbClr val="69FFFF"/>
            </a:gs>
          </a:gsLst>
          <a:lin ang="5400000" scaled="1"/>
        </a:gradFill>
        <a:ln w="12700">
          <a:solidFill>
            <a:srgbClr val="69FFFF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2" r="0.750000000000002" t="1" header="0.51180555555555562" footer="0.51180555555555562"/>
    <c:pageSetup firstPageNumber="0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400" b="1"/>
              <a:t>CAMPIONI ANALIZZATI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'T7 e Graf.8'!$E$8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 e Graf.8'!$D$9:$D$15</c:f>
              <c:strCache>
                <c:ptCount val="7"/>
                <c:pt idx="0">
                  <c:v>Frutta</c:v>
                </c:pt>
                <c:pt idx="1">
                  <c:v>Ortaggi</c:v>
                </c:pt>
                <c:pt idx="2">
                  <c:v>Cereali</c:v>
                </c:pt>
                <c:pt idx="3">
                  <c:v>Olio</c:v>
                </c:pt>
                <c:pt idx="4">
                  <c:v>Vino</c:v>
                </c:pt>
                <c:pt idx="5">
                  <c:v>baby food</c:v>
                </c:pt>
                <c:pt idx="6">
                  <c:v>altri prodotti</c:v>
                </c:pt>
              </c:strCache>
            </c:strRef>
          </c:cat>
          <c:val>
            <c:numRef>
              <c:f>'T7 e Graf.8'!$E$9:$E$15</c:f>
              <c:numCache>
                <c:formatCode>#,##0</c:formatCode>
                <c:ptCount val="7"/>
                <c:pt idx="0">
                  <c:v>3833</c:v>
                </c:pt>
                <c:pt idx="1">
                  <c:v>3405</c:v>
                </c:pt>
                <c:pt idx="2">
                  <c:v>1541</c:v>
                </c:pt>
                <c:pt idx="3">
                  <c:v>480</c:v>
                </c:pt>
                <c:pt idx="4">
                  <c:v>872</c:v>
                </c:pt>
                <c:pt idx="5" formatCode="General">
                  <c:v>56</c:v>
                </c:pt>
                <c:pt idx="6" formatCode="General">
                  <c:v>2163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77-4B06-8186-BB83D73F0BED}"/>
            </c:ext>
          </c:extLst>
        </c:ser>
        <c:ser>
          <c:idx val="1"/>
          <c:order val="1"/>
          <c:tx>
            <c:strRef>
              <c:f>'T7 e Graf.8'!$F$8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6.4814805363837089E-2"/>
                  <c:y val="-5.370930410081110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77-4B06-8186-BB83D73F0BED}"/>
                </c:ext>
              </c:extLst>
            </c:dLbl>
            <c:dLbl>
              <c:idx val="1"/>
              <c:layout>
                <c:manualLayout>
                  <c:x val="7.0370360109308791E-2"/>
                  <c:y val="-1.611279123024332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77-4B06-8186-BB83D73F0BED}"/>
                </c:ext>
              </c:extLst>
            </c:dLbl>
            <c:dLbl>
              <c:idx val="2"/>
              <c:layout>
                <c:manualLayout>
                  <c:x val="3.1481476891006527E-2"/>
                  <c:y val="-4.833837369072997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77-4B06-8186-BB83D73F0BED}"/>
                </c:ext>
              </c:extLst>
            </c:dLbl>
            <c:dLbl>
              <c:idx val="4"/>
              <c:layout>
                <c:manualLayout>
                  <c:x val="3.703703163647834E-2"/>
                  <c:y val="-0.1235313994318655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77-4B06-8186-BB83D73F0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 e Graf.8'!$D$9:$D$15</c:f>
              <c:strCache>
                <c:ptCount val="7"/>
                <c:pt idx="0">
                  <c:v>Frutta</c:v>
                </c:pt>
                <c:pt idx="1">
                  <c:v>Ortaggi</c:v>
                </c:pt>
                <c:pt idx="2">
                  <c:v>Cereali</c:v>
                </c:pt>
                <c:pt idx="3">
                  <c:v>Olio</c:v>
                </c:pt>
                <c:pt idx="4">
                  <c:v>Vino</c:v>
                </c:pt>
                <c:pt idx="5">
                  <c:v>baby food</c:v>
                </c:pt>
                <c:pt idx="6">
                  <c:v>altri prodotti</c:v>
                </c:pt>
              </c:strCache>
            </c:strRef>
          </c:cat>
          <c:val>
            <c:numRef>
              <c:f>'T7 e Graf.8'!$F$9:$F$15</c:f>
              <c:numCache>
                <c:formatCode>#,##0</c:formatCode>
                <c:ptCount val="7"/>
                <c:pt idx="0">
                  <c:v>3337</c:v>
                </c:pt>
                <c:pt idx="1">
                  <c:v>3195</c:v>
                </c:pt>
                <c:pt idx="2">
                  <c:v>1839</c:v>
                </c:pt>
                <c:pt idx="3">
                  <c:v>414</c:v>
                </c:pt>
                <c:pt idx="4">
                  <c:v>887</c:v>
                </c:pt>
                <c:pt idx="5" formatCode="General">
                  <c:v>99</c:v>
                </c:pt>
                <c:pt idx="6" formatCode="General">
                  <c:v>1729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A77-4B06-8186-BB83D73F0BED}"/>
            </c:ext>
          </c:extLst>
        </c:ser>
        <c:dLbls>
          <c:showVal val="1"/>
        </c:dLbls>
        <c:overlap val="-25"/>
        <c:axId val="108226816"/>
        <c:axId val="108236800"/>
      </c:barChart>
      <c:catAx>
        <c:axId val="108226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236800"/>
        <c:crosses val="autoZero"/>
        <c:auto val="1"/>
        <c:lblAlgn val="ctr"/>
        <c:lblOffset val="100"/>
      </c:catAx>
      <c:valAx>
        <c:axId val="108236800"/>
        <c:scaling>
          <c:orientation val="minMax"/>
        </c:scaling>
        <c:delete val="1"/>
        <c:axPos val="l"/>
        <c:numFmt formatCode="#,##0" sourceLinked="1"/>
        <c:majorTickMark val="none"/>
        <c:tickLblPos val="nextTo"/>
        <c:crossAx val="10822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400" b="1"/>
              <a:t>PERCENTUALE</a:t>
            </a:r>
            <a:r>
              <a:rPr lang="it-IT" sz="2400" b="1" baseline="0"/>
              <a:t> IRREGOLARITA'</a:t>
            </a:r>
            <a:endParaRPr lang="it-IT" sz="2400" b="1"/>
          </a:p>
        </c:rich>
      </c:tx>
      <c:layout>
        <c:manualLayout>
          <c:xMode val="edge"/>
          <c:yMode val="edge"/>
          <c:x val="0.28327465502455768"/>
          <c:y val="2.5838979429896863E-3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'T7 e Graf.8'!$O$8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 e Graf.8'!$D$9:$D$15</c:f>
              <c:strCache>
                <c:ptCount val="7"/>
                <c:pt idx="0">
                  <c:v>Frutta</c:v>
                </c:pt>
                <c:pt idx="1">
                  <c:v>Ortaggi</c:v>
                </c:pt>
                <c:pt idx="2">
                  <c:v>Cereali</c:v>
                </c:pt>
                <c:pt idx="3">
                  <c:v>Olio</c:v>
                </c:pt>
                <c:pt idx="4">
                  <c:v>Vino</c:v>
                </c:pt>
                <c:pt idx="5">
                  <c:v>baby food</c:v>
                </c:pt>
                <c:pt idx="6">
                  <c:v>altri prodotti</c:v>
                </c:pt>
              </c:strCache>
            </c:strRef>
          </c:cat>
          <c:val>
            <c:numRef>
              <c:f>'T7 e Graf.8'!$O$9:$O$15</c:f>
              <c:numCache>
                <c:formatCode>#,##0.0</c:formatCode>
                <c:ptCount val="7"/>
                <c:pt idx="0">
                  <c:v>0.91312288025045663</c:v>
                </c:pt>
                <c:pt idx="1">
                  <c:v>1.6152716593245229</c:v>
                </c:pt>
                <c:pt idx="2">
                  <c:v>0.5191434133679429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0.60101710587147483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15-4198-8B5E-F2E2A152DA76}"/>
            </c:ext>
          </c:extLst>
        </c:ser>
        <c:ser>
          <c:idx val="1"/>
          <c:order val="1"/>
          <c:tx>
            <c:strRef>
              <c:f>'T7 e Graf.8'!$P$8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 e Graf.8'!$D$9:$D$15</c:f>
              <c:strCache>
                <c:ptCount val="7"/>
                <c:pt idx="0">
                  <c:v>Frutta</c:v>
                </c:pt>
                <c:pt idx="1">
                  <c:v>Ortaggi</c:v>
                </c:pt>
                <c:pt idx="2">
                  <c:v>Cereali</c:v>
                </c:pt>
                <c:pt idx="3">
                  <c:v>Olio</c:v>
                </c:pt>
                <c:pt idx="4">
                  <c:v>Vino</c:v>
                </c:pt>
                <c:pt idx="5">
                  <c:v>baby food</c:v>
                </c:pt>
                <c:pt idx="6">
                  <c:v>altri prodotti</c:v>
                </c:pt>
              </c:strCache>
            </c:strRef>
          </c:cat>
          <c:val>
            <c:numRef>
              <c:f>'T7 e Graf.8'!$P$9:$P$15</c:f>
              <c:numCache>
                <c:formatCode>#,##0.0</c:formatCode>
                <c:ptCount val="7"/>
                <c:pt idx="0">
                  <c:v>1.8879232843871743</c:v>
                </c:pt>
                <c:pt idx="1">
                  <c:v>1.7527386541471048</c:v>
                </c:pt>
                <c:pt idx="2">
                  <c:v>0.38064165307232195</c:v>
                </c:pt>
                <c:pt idx="3">
                  <c:v>0</c:v>
                </c:pt>
                <c:pt idx="4">
                  <c:v>0.11273957158962795</c:v>
                </c:pt>
                <c:pt idx="5">
                  <c:v>0</c:v>
                </c:pt>
                <c:pt idx="6">
                  <c:v>0.34702139965297862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15-4198-8B5E-F2E2A152DA76}"/>
            </c:ext>
          </c:extLst>
        </c:ser>
        <c:dLbls>
          <c:showVal val="1"/>
        </c:dLbls>
        <c:overlap val="-25"/>
        <c:axId val="108364928"/>
        <c:axId val="108366464"/>
      </c:barChart>
      <c:catAx>
        <c:axId val="1083649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366464"/>
        <c:crosses val="autoZero"/>
        <c:auto val="1"/>
        <c:lblAlgn val="ctr"/>
        <c:lblOffset val="100"/>
      </c:catAx>
      <c:valAx>
        <c:axId val="108366464"/>
        <c:scaling>
          <c:orientation val="minMax"/>
        </c:scaling>
        <c:delete val="1"/>
        <c:axPos val="l"/>
        <c:numFmt formatCode="#,##0.0" sourceLinked="1"/>
        <c:majorTickMark val="none"/>
        <c:tickLblPos val="nextTo"/>
        <c:crossAx val="1083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/>
              <a:t>RAFFRONTO CON UNIONE EUROPEA                                                                                      ANNI 2011 - 2019
 PERCENTUALE  IRREGOLARITA'</a:t>
            </a:r>
          </a:p>
        </c:rich>
      </c:tx>
      <c:layout>
        <c:manualLayout>
          <c:xMode val="edge"/>
          <c:yMode val="edge"/>
          <c:x val="0.32704537073367901"/>
          <c:y val="2.16469291338582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032999629217851E-2"/>
          <c:y val="0.26274571560907822"/>
          <c:w val="0.90915832406377461"/>
          <c:h val="0.46470619113787415"/>
        </c:manualLayout>
      </c:layout>
      <c:lineChart>
        <c:grouping val="standard"/>
        <c:ser>
          <c:idx val="0"/>
          <c:order val="0"/>
          <c:tx>
            <c:v>IT_irregolari</c:v>
          </c:tx>
          <c:spPr>
            <a:ln w="25400">
              <a:solidFill>
                <a:srgbClr val="008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dLbls>
            <c:dLbl>
              <c:idx val="22"/>
              <c:layout>
                <c:manualLayout>
                  <c:x val="-4.4493882091211408E-3"/>
                  <c:y val="5.882352941176470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30-42FB-8193-CE7D644315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'Graf. 9'!$T$23:$T$31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'Graf. 9'!$U$23:$U$31</c:f>
              <c:numCache>
                <c:formatCode>General</c:formatCode>
                <c:ptCount val="9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  <c:pt idx="3">
                  <c:v>0.3</c:v>
                </c:pt>
                <c:pt idx="4">
                  <c:v>1.1000000000000001</c:v>
                </c:pt>
                <c:pt idx="5">
                  <c:v>0.8</c:v>
                </c:pt>
                <c:pt idx="6">
                  <c:v>0.9</c:v>
                </c:pt>
                <c:pt idx="7">
                  <c:v>0.9</c:v>
                </c:pt>
                <c:pt idx="8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30-42FB-8193-CE7D6443157E}"/>
            </c:ext>
          </c:extLst>
        </c:ser>
        <c:ser>
          <c:idx val="1"/>
          <c:order val="1"/>
          <c:tx>
            <c:v>EU_irregolari</c:v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19"/>
              <c:layout>
                <c:manualLayout>
                  <c:x val="-8.8987764182424985E-3"/>
                  <c:y val="-6.66666666666666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30-42FB-8193-CE7D6443157E}"/>
                </c:ext>
              </c:extLst>
            </c:dLbl>
            <c:dLbl>
              <c:idx val="20"/>
              <c:layout>
                <c:manualLayout>
                  <c:x val="-1.9280682239525407E-2"/>
                  <c:y val="-7.058823529411767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30-42FB-8193-CE7D6443157E}"/>
                </c:ext>
              </c:extLst>
            </c:dLbl>
            <c:dLbl>
              <c:idx val="21"/>
              <c:layout>
                <c:manualLayout>
                  <c:x val="-1.3348164627363745E-2"/>
                  <c:y val="-3.52941176470588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30-42FB-8193-CE7D6443157E}"/>
                </c:ext>
              </c:extLst>
            </c:dLbl>
            <c:dLbl>
              <c:idx val="22"/>
              <c:layout>
                <c:manualLayout>
                  <c:x val="-2.076381164256582E-2"/>
                  <c:y val="-4.705882352941183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AC-4FF1-8849-99CF221861B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'Graf. 9'!$T$23:$T$31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'Graf. 9'!$V$23:$V$30</c:f>
              <c:numCache>
                <c:formatCode>General</c:formatCode>
                <c:ptCount val="8"/>
                <c:pt idx="0">
                  <c:v>1.5</c:v>
                </c:pt>
                <c:pt idx="1">
                  <c:v>1.7</c:v>
                </c:pt>
                <c:pt idx="2">
                  <c:v>1.5</c:v>
                </c:pt>
                <c:pt idx="3">
                  <c:v>1.6</c:v>
                </c:pt>
                <c:pt idx="4">
                  <c:v>1.6</c:v>
                </c:pt>
                <c:pt idx="5">
                  <c:v>2.2000000000000002</c:v>
                </c:pt>
                <c:pt idx="6">
                  <c:v>2.5</c:v>
                </c:pt>
                <c:pt idx="7">
                  <c:v>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30-42FB-8193-CE7D6443157E}"/>
            </c:ext>
          </c:extLst>
        </c:ser>
        <c:marker val="1"/>
        <c:axId val="108495616"/>
        <c:axId val="108497536"/>
      </c:lineChart>
      <c:catAx>
        <c:axId val="108495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ANNI</a:t>
                </a:r>
              </a:p>
            </c:rich>
          </c:tx>
          <c:layout>
            <c:manualLayout>
              <c:xMode val="edge"/>
              <c:yMode val="edge"/>
              <c:x val="0.49944382647385982"/>
              <c:y val="0.802942411610313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8497536"/>
        <c:crossesAt val="0"/>
        <c:lblAlgn val="ctr"/>
        <c:lblOffset val="100"/>
        <c:tickLblSkip val="1"/>
        <c:tickMarkSkip val="1"/>
      </c:catAx>
      <c:valAx>
        <c:axId val="108497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8495616"/>
        <c:crosses val="autoZero"/>
        <c:crossBetween val="midCat"/>
      </c:valAx>
      <c:spPr>
        <a:gradFill rotWithShape="0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2" r="0.750000000000002" t="1" header="0.51180555555555562" footer="0.51180555555555562"/>
    <c:pageSetup paperSize="9" firstPageNumber="0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36</xdr:row>
      <xdr:rowOff>111125</xdr:rowOff>
    </xdr:from>
    <xdr:to>
      <xdr:col>13</xdr:col>
      <xdr:colOff>984250</xdr:colOff>
      <xdr:row>68</xdr:row>
      <xdr:rowOff>111125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6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25</xdr:row>
      <xdr:rowOff>95250</xdr:rowOff>
    </xdr:from>
    <xdr:to>
      <xdr:col>4</xdr:col>
      <xdr:colOff>1301750</xdr:colOff>
      <xdr:row>51</xdr:row>
      <xdr:rowOff>111125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3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190501</xdr:colOff>
      <xdr:row>26</xdr:row>
      <xdr:rowOff>15874</xdr:rowOff>
    </xdr:from>
    <xdr:to>
      <xdr:col>10</xdr:col>
      <xdr:colOff>523876</xdr:colOff>
      <xdr:row>51</xdr:row>
      <xdr:rowOff>63499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3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38100</xdr:rowOff>
    </xdr:from>
    <xdr:to>
      <xdr:col>15</xdr:col>
      <xdr:colOff>38100</xdr:colOff>
      <xdr:row>23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4500-0000017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0.8424</cdr:x>
      <cdr:y>0.08271</cdr:y>
    </cdr:from>
    <cdr:to>
      <cdr:x>0.95773</cdr:x>
      <cdr:y>0.23235</cdr:y>
    </cdr:to>
    <cdr:pic>
      <cdr:nvPicPr>
        <cdr:cNvPr id="36865" name="Picture 1">
          <a:extLst xmlns:a="http://schemas.openxmlformats.org/drawingml/2006/main">
            <a:ext uri="{FF2B5EF4-FFF2-40B4-BE49-F238E27FC236}">
              <a16:creationId xmlns="" xmlns:a16="http://schemas.microsoft.com/office/drawing/2014/main" id="{D7A48C4F-3E05-46C2-8889-8032A8AD1F6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13479" y="267842"/>
          <a:ext cx="987546" cy="484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Layout" zoomScale="10" zoomScaleSheetLayoutView="25" zoomScalePageLayoutView="10" workbookViewId="0">
      <selection activeCell="D7" sqref="D7"/>
    </sheetView>
  </sheetViews>
  <sheetFormatPr defaultColWidth="9.140625" defaultRowHeight="12.75"/>
  <cols>
    <col min="1" max="1" width="10.7109375" style="32" customWidth="1"/>
    <col min="2" max="2" width="76" style="32" customWidth="1"/>
    <col min="3" max="3" width="21.7109375" style="32" customWidth="1"/>
    <col min="4" max="4" width="205" style="33" customWidth="1"/>
    <col min="5" max="10" width="60.7109375" style="32" customWidth="1"/>
    <col min="11" max="11" width="10.7109375" style="32" customWidth="1"/>
    <col min="12" max="16384" width="9.140625" style="32"/>
  </cols>
  <sheetData>
    <row r="1" spans="1:11" s="1" customFormat="1" ht="85.5" customHeight="1">
      <c r="A1" s="331" t="s">
        <v>116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s="1" customFormat="1" ht="90.75">
      <c r="A2" s="332" t="s">
        <v>131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s="1" customFormat="1" ht="90.75">
      <c r="A3" s="332" t="s">
        <v>201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s="1" customFormat="1" ht="60.75" thickBot="1">
      <c r="A4" s="333" t="s">
        <v>128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s="2" customFormat="1" ht="93" customHeight="1" thickTop="1" thickBot="1">
      <c r="B5" s="334" t="s">
        <v>31</v>
      </c>
      <c r="C5" s="335" t="s">
        <v>32</v>
      </c>
      <c r="D5" s="336"/>
      <c r="E5" s="339" t="s">
        <v>33</v>
      </c>
      <c r="F5" s="339"/>
      <c r="G5" s="339"/>
      <c r="H5" s="339"/>
      <c r="I5" s="339"/>
      <c r="J5" s="339"/>
      <c r="K5" s="3"/>
    </row>
    <row r="6" spans="1:11" s="2" customFormat="1" ht="183" customHeight="1" thickTop="1" thickBot="1">
      <c r="B6" s="334"/>
      <c r="C6" s="337"/>
      <c r="D6" s="338"/>
      <c r="E6" s="4" t="s">
        <v>9</v>
      </c>
      <c r="F6" s="5" t="s">
        <v>10</v>
      </c>
      <c r="G6" s="6" t="s">
        <v>34</v>
      </c>
      <c r="H6" s="7" t="s">
        <v>12</v>
      </c>
      <c r="I6" s="8" t="s">
        <v>13</v>
      </c>
      <c r="J6" s="9" t="s">
        <v>35</v>
      </c>
    </row>
    <row r="7" spans="1:11" s="10" customFormat="1" ht="150" customHeight="1" thickBot="1">
      <c r="B7" s="11" t="s">
        <v>36</v>
      </c>
      <c r="C7" s="12">
        <v>1</v>
      </c>
      <c r="D7" s="267" t="s">
        <v>37</v>
      </c>
      <c r="E7" s="12">
        <f>63+13</f>
        <v>76</v>
      </c>
      <c r="F7" s="12">
        <f>68+13</f>
        <v>81</v>
      </c>
      <c r="G7" s="12">
        <f>7+32</f>
        <v>39</v>
      </c>
      <c r="H7" s="12">
        <f>5+5</f>
        <v>10</v>
      </c>
      <c r="I7" s="12">
        <f>5+40</f>
        <v>45</v>
      </c>
      <c r="J7" s="13">
        <f>E7+F7+G7+H7+I7</f>
        <v>251</v>
      </c>
    </row>
    <row r="8" spans="1:11" s="10" customFormat="1" ht="114" customHeight="1" thickBot="1">
      <c r="B8" s="346" t="s">
        <v>38</v>
      </c>
      <c r="C8" s="340">
        <v>2</v>
      </c>
      <c r="D8" s="267" t="s">
        <v>39</v>
      </c>
      <c r="E8" s="340">
        <v>30</v>
      </c>
      <c r="F8" s="340">
        <v>31</v>
      </c>
      <c r="G8" s="340">
        <f>5+52</f>
        <v>57</v>
      </c>
      <c r="H8" s="340">
        <f>5+0</f>
        <v>5</v>
      </c>
      <c r="I8" s="340">
        <f>5+5</f>
        <v>10</v>
      </c>
      <c r="J8" s="344">
        <f>E8+F8+G8+H8+I8</f>
        <v>133</v>
      </c>
    </row>
    <row r="9" spans="1:11" s="10" customFormat="1" ht="114" customHeight="1" thickBot="1">
      <c r="B9" s="347"/>
      <c r="C9" s="341"/>
      <c r="D9" s="268" t="s">
        <v>40</v>
      </c>
      <c r="E9" s="341"/>
      <c r="F9" s="341"/>
      <c r="G9" s="341"/>
      <c r="H9" s="341"/>
      <c r="I9" s="341"/>
      <c r="J9" s="345"/>
    </row>
    <row r="10" spans="1:11" s="10" customFormat="1" ht="87" customHeight="1" thickBot="1">
      <c r="B10" s="342" t="s">
        <v>41</v>
      </c>
      <c r="C10" s="340">
        <v>2</v>
      </c>
      <c r="D10" s="267" t="s">
        <v>42</v>
      </c>
      <c r="E10" s="340">
        <v>71</v>
      </c>
      <c r="F10" s="340">
        <v>10</v>
      </c>
      <c r="G10" s="340">
        <v>5</v>
      </c>
      <c r="H10" s="340">
        <v>5</v>
      </c>
      <c r="I10" s="340">
        <v>10</v>
      </c>
      <c r="J10" s="344">
        <f>E10+F10+G10+H10+I10</f>
        <v>101</v>
      </c>
    </row>
    <row r="11" spans="1:11" s="10" customFormat="1" ht="90" customHeight="1" thickBot="1">
      <c r="B11" s="343"/>
      <c r="C11" s="341"/>
      <c r="D11" s="267" t="s">
        <v>43</v>
      </c>
      <c r="E11" s="341"/>
      <c r="F11" s="341"/>
      <c r="G11" s="341"/>
      <c r="H11" s="341"/>
      <c r="I11" s="341"/>
      <c r="J11" s="345"/>
    </row>
    <row r="12" spans="1:11" s="10" customFormat="1" ht="150" customHeight="1" thickBot="1">
      <c r="B12" s="342" t="s">
        <v>44</v>
      </c>
      <c r="C12" s="340">
        <v>2</v>
      </c>
      <c r="D12" s="267" t="s">
        <v>51</v>
      </c>
      <c r="E12" s="21"/>
      <c r="F12" s="21"/>
      <c r="G12" s="21"/>
      <c r="H12" s="21"/>
      <c r="I12" s="21"/>
      <c r="J12" s="22"/>
    </row>
    <row r="13" spans="1:11" s="10" customFormat="1" ht="207" customHeight="1" thickBot="1">
      <c r="B13" s="343"/>
      <c r="C13" s="341"/>
      <c r="D13" s="267" t="s">
        <v>45</v>
      </c>
      <c r="E13" s="12">
        <v>123</v>
      </c>
      <c r="F13" s="12">
        <v>76</v>
      </c>
      <c r="G13" s="12">
        <v>18</v>
      </c>
      <c r="H13" s="12">
        <v>24</v>
      </c>
      <c r="I13" s="12">
        <v>13</v>
      </c>
      <c r="J13" s="13">
        <f>E13+F13+G13+H13+I13</f>
        <v>254</v>
      </c>
    </row>
    <row r="14" spans="1:11" s="10" customFormat="1" ht="150" customHeight="1" thickBot="1">
      <c r="B14" s="346" t="s">
        <v>46</v>
      </c>
      <c r="C14" s="340">
        <v>6</v>
      </c>
      <c r="D14" s="267" t="s">
        <v>47</v>
      </c>
      <c r="E14" s="340">
        <v>181</v>
      </c>
      <c r="F14" s="340">
        <v>258</v>
      </c>
      <c r="G14" s="340">
        <f>32+38</f>
        <v>70</v>
      </c>
      <c r="H14" s="340">
        <f>5+5</f>
        <v>10</v>
      </c>
      <c r="I14" s="340">
        <f>6+21</f>
        <v>27</v>
      </c>
      <c r="J14" s="344">
        <f>E14+F14+G14+H14+I14</f>
        <v>546</v>
      </c>
    </row>
    <row r="15" spans="1:11" s="10" customFormat="1" ht="99" customHeight="1" thickBot="1">
      <c r="B15" s="353"/>
      <c r="C15" s="348"/>
      <c r="D15" s="267" t="s">
        <v>63</v>
      </c>
      <c r="E15" s="348"/>
      <c r="F15" s="348"/>
      <c r="G15" s="348"/>
      <c r="H15" s="348"/>
      <c r="I15" s="348"/>
      <c r="J15" s="349"/>
    </row>
    <row r="16" spans="1:11" s="10" customFormat="1" ht="87" customHeight="1" thickBot="1">
      <c r="B16" s="353"/>
      <c r="C16" s="348"/>
      <c r="D16" s="267" t="s">
        <v>64</v>
      </c>
      <c r="E16" s="348"/>
      <c r="F16" s="348"/>
      <c r="G16" s="348"/>
      <c r="H16" s="348"/>
      <c r="I16" s="348"/>
      <c r="J16" s="349"/>
    </row>
    <row r="17" spans="2:10" s="10" customFormat="1" ht="150" customHeight="1" thickBot="1">
      <c r="B17" s="353"/>
      <c r="C17" s="348"/>
      <c r="D17" s="267" t="s">
        <v>51</v>
      </c>
      <c r="E17" s="348"/>
      <c r="F17" s="348"/>
      <c r="G17" s="348"/>
      <c r="H17" s="348"/>
      <c r="I17" s="348"/>
      <c r="J17" s="349"/>
    </row>
    <row r="18" spans="2:10" s="10" customFormat="1" ht="93" customHeight="1" thickBot="1">
      <c r="B18" s="353"/>
      <c r="C18" s="348"/>
      <c r="D18" s="267" t="s">
        <v>58</v>
      </c>
      <c r="E18" s="348"/>
      <c r="F18" s="348"/>
      <c r="G18" s="348"/>
      <c r="H18" s="348"/>
      <c r="I18" s="348"/>
      <c r="J18" s="349"/>
    </row>
    <row r="19" spans="2:10" s="10" customFormat="1" ht="150" customHeight="1" thickBot="1">
      <c r="B19" s="347"/>
      <c r="C19" s="341"/>
      <c r="D19" s="267" t="s">
        <v>48</v>
      </c>
      <c r="E19" s="341"/>
      <c r="F19" s="341"/>
      <c r="G19" s="341"/>
      <c r="H19" s="341"/>
      <c r="I19" s="341"/>
      <c r="J19" s="345"/>
    </row>
    <row r="20" spans="2:10" s="10" customFormat="1" ht="150" customHeight="1" thickBot="1">
      <c r="B20" s="350" t="s">
        <v>49</v>
      </c>
      <c r="C20" s="340">
        <v>2</v>
      </c>
      <c r="D20" s="267" t="s">
        <v>50</v>
      </c>
      <c r="E20" s="351">
        <v>247</v>
      </c>
      <c r="F20" s="351">
        <v>218</v>
      </c>
      <c r="G20" s="351">
        <f>162+22</f>
        <v>184</v>
      </c>
      <c r="H20" s="351">
        <v>10</v>
      </c>
      <c r="I20" s="351">
        <f>62+5</f>
        <v>67</v>
      </c>
      <c r="J20" s="352">
        <f>E20+F20+G20+H20+I20</f>
        <v>726</v>
      </c>
    </row>
    <row r="21" spans="2:10" s="10" customFormat="1" ht="150" customHeight="1" thickBot="1">
      <c r="B21" s="350"/>
      <c r="C21" s="341"/>
      <c r="D21" s="267" t="s">
        <v>51</v>
      </c>
      <c r="E21" s="351"/>
      <c r="F21" s="351"/>
      <c r="G21" s="351"/>
      <c r="H21" s="351"/>
      <c r="I21" s="351"/>
      <c r="J21" s="352"/>
    </row>
    <row r="22" spans="2:10" s="10" customFormat="1" ht="99" customHeight="1" thickBot="1">
      <c r="B22" s="342" t="s">
        <v>52</v>
      </c>
      <c r="C22" s="340">
        <v>2</v>
      </c>
      <c r="D22" s="267" t="s">
        <v>175</v>
      </c>
      <c r="E22" s="340">
        <v>32</v>
      </c>
      <c r="F22" s="340">
        <v>18</v>
      </c>
      <c r="G22" s="340">
        <f>5+7</f>
        <v>12</v>
      </c>
      <c r="H22" s="340">
        <f>5+5</f>
        <v>10</v>
      </c>
      <c r="I22" s="340">
        <f>10+5</f>
        <v>15</v>
      </c>
      <c r="J22" s="344">
        <f>E22+F22+G22+H22+I22</f>
        <v>87</v>
      </c>
    </row>
    <row r="23" spans="2:10" s="10" customFormat="1" ht="150" customHeight="1" thickBot="1">
      <c r="B23" s="343"/>
      <c r="C23" s="341"/>
      <c r="D23" s="267" t="s">
        <v>53</v>
      </c>
      <c r="E23" s="341"/>
      <c r="F23" s="341"/>
      <c r="G23" s="341"/>
      <c r="H23" s="341"/>
      <c r="I23" s="341"/>
      <c r="J23" s="345"/>
    </row>
    <row r="24" spans="2:10" s="10" customFormat="1" ht="150" customHeight="1" thickBot="1">
      <c r="B24" s="350" t="s">
        <v>54</v>
      </c>
      <c r="C24" s="340">
        <v>2</v>
      </c>
      <c r="D24" s="267" t="s">
        <v>55</v>
      </c>
      <c r="E24" s="351">
        <v>125</v>
      </c>
      <c r="F24" s="351">
        <v>160</v>
      </c>
      <c r="G24" s="351">
        <f>58+29</f>
        <v>87</v>
      </c>
      <c r="H24" s="351">
        <f>5+5</f>
        <v>10</v>
      </c>
      <c r="I24" s="351">
        <f>32+6</f>
        <v>38</v>
      </c>
      <c r="J24" s="352">
        <f>E24+F24+G24+H24+I24</f>
        <v>420</v>
      </c>
    </row>
    <row r="25" spans="2:10" s="10" customFormat="1" ht="150" customHeight="1" thickBot="1">
      <c r="B25" s="350"/>
      <c r="C25" s="341"/>
      <c r="D25" s="267" t="s">
        <v>56</v>
      </c>
      <c r="E25" s="351"/>
      <c r="F25" s="351"/>
      <c r="G25" s="351"/>
      <c r="H25" s="351"/>
      <c r="I25" s="351"/>
      <c r="J25" s="352"/>
    </row>
    <row r="26" spans="2:10" s="10" customFormat="1" ht="99" customHeight="1" thickBot="1">
      <c r="B26" s="350" t="s">
        <v>57</v>
      </c>
      <c r="C26" s="340">
        <v>3</v>
      </c>
      <c r="D26" s="267" t="s">
        <v>58</v>
      </c>
      <c r="E26" s="351">
        <v>23</v>
      </c>
      <c r="F26" s="351">
        <v>30</v>
      </c>
      <c r="G26" s="351">
        <f>9+5</f>
        <v>14</v>
      </c>
      <c r="H26" s="351">
        <f>5+5</f>
        <v>10</v>
      </c>
      <c r="I26" s="351">
        <f>5+5</f>
        <v>10</v>
      </c>
      <c r="J26" s="352">
        <f>E26+F26+G26+H26+I26</f>
        <v>87</v>
      </c>
    </row>
    <row r="27" spans="2:10" s="10" customFormat="1" ht="174" customHeight="1" thickBot="1">
      <c r="B27" s="350"/>
      <c r="C27" s="348"/>
      <c r="D27" s="267" t="s">
        <v>60</v>
      </c>
      <c r="E27" s="351"/>
      <c r="F27" s="351"/>
      <c r="G27" s="351"/>
      <c r="H27" s="351"/>
      <c r="I27" s="351"/>
      <c r="J27" s="352"/>
    </row>
    <row r="28" spans="2:10" s="10" customFormat="1" ht="150" customHeight="1" thickBot="1">
      <c r="B28" s="350"/>
      <c r="C28" s="348"/>
      <c r="D28" s="267" t="s">
        <v>51</v>
      </c>
      <c r="E28" s="351"/>
      <c r="F28" s="351"/>
      <c r="G28" s="351"/>
      <c r="H28" s="351"/>
      <c r="I28" s="351"/>
      <c r="J28" s="352"/>
    </row>
    <row r="29" spans="2:10" s="10" customFormat="1" ht="99" customHeight="1" thickBot="1">
      <c r="B29" s="350" t="s">
        <v>62</v>
      </c>
      <c r="C29" s="340">
        <v>3</v>
      </c>
      <c r="D29" s="267" t="s">
        <v>63</v>
      </c>
      <c r="E29" s="351">
        <v>123</v>
      </c>
      <c r="F29" s="351">
        <v>139</v>
      </c>
      <c r="G29" s="351">
        <f>81+50</f>
        <v>131</v>
      </c>
      <c r="H29" s="351">
        <v>15</v>
      </c>
      <c r="I29" s="351">
        <f>16+10</f>
        <v>26</v>
      </c>
      <c r="J29" s="352">
        <f>E29+F29+G29+H29+I29</f>
        <v>434</v>
      </c>
    </row>
    <row r="30" spans="2:10" s="10" customFormat="1" ht="90" customHeight="1" thickBot="1">
      <c r="B30" s="350"/>
      <c r="C30" s="348"/>
      <c r="D30" s="267" t="s">
        <v>64</v>
      </c>
      <c r="E30" s="351"/>
      <c r="F30" s="351"/>
      <c r="G30" s="351"/>
      <c r="H30" s="351"/>
      <c r="I30" s="351"/>
      <c r="J30" s="352"/>
    </row>
    <row r="31" spans="2:10" s="10" customFormat="1" ht="150" customHeight="1" thickBot="1">
      <c r="B31" s="350"/>
      <c r="C31" s="341"/>
      <c r="D31" s="267" t="s">
        <v>51</v>
      </c>
      <c r="E31" s="351"/>
      <c r="F31" s="351"/>
      <c r="G31" s="351"/>
      <c r="H31" s="351"/>
      <c r="I31" s="351"/>
      <c r="J31" s="352"/>
    </row>
    <row r="32" spans="2:10" s="10" customFormat="1" ht="150" customHeight="1" thickBot="1">
      <c r="B32" s="350" t="s">
        <v>65</v>
      </c>
      <c r="C32" s="340">
        <v>2</v>
      </c>
      <c r="D32" s="267" t="s">
        <v>61</v>
      </c>
      <c r="E32" s="340">
        <v>46</v>
      </c>
      <c r="F32" s="340">
        <v>53</v>
      </c>
      <c r="G32" s="340">
        <f>8+82</f>
        <v>90</v>
      </c>
      <c r="H32" s="340">
        <f>5+5</f>
        <v>10</v>
      </c>
      <c r="I32" s="340">
        <f>5+19</f>
        <v>24</v>
      </c>
      <c r="J32" s="344">
        <f>E32+F32+G32+H32+I32</f>
        <v>223</v>
      </c>
    </row>
    <row r="33" spans="2:10" s="10" customFormat="1" ht="105" customHeight="1" thickBot="1">
      <c r="B33" s="350"/>
      <c r="C33" s="341"/>
      <c r="D33" s="267" t="s">
        <v>66</v>
      </c>
      <c r="E33" s="341"/>
      <c r="F33" s="341"/>
      <c r="G33" s="341"/>
      <c r="H33" s="341"/>
      <c r="I33" s="341"/>
      <c r="J33" s="345"/>
    </row>
    <row r="34" spans="2:10" s="10" customFormat="1" ht="150" customHeight="1" thickBot="1">
      <c r="B34" s="11" t="s">
        <v>67</v>
      </c>
      <c r="C34" s="14">
        <v>1</v>
      </c>
      <c r="D34" s="267" t="s">
        <v>68</v>
      </c>
      <c r="E34" s="15">
        <v>12</v>
      </c>
      <c r="F34" s="15">
        <v>10</v>
      </c>
      <c r="G34" s="15">
        <f>28+5</f>
        <v>33</v>
      </c>
      <c r="H34" s="15">
        <v>5</v>
      </c>
      <c r="I34" s="15">
        <f>5+5</f>
        <v>10</v>
      </c>
      <c r="J34" s="13">
        <f>E34+F34+G34+H34+I34</f>
        <v>70</v>
      </c>
    </row>
    <row r="35" spans="2:10" s="10" customFormat="1" ht="150" customHeight="1" thickBot="1">
      <c r="B35" s="350" t="s">
        <v>69</v>
      </c>
      <c r="C35" s="340">
        <v>3</v>
      </c>
      <c r="D35" s="267" t="s">
        <v>51</v>
      </c>
      <c r="E35" s="351">
        <v>116</v>
      </c>
      <c r="F35" s="351">
        <v>87</v>
      </c>
      <c r="G35" s="351">
        <v>161</v>
      </c>
      <c r="H35" s="351">
        <v>10</v>
      </c>
      <c r="I35" s="351">
        <v>39</v>
      </c>
      <c r="J35" s="352">
        <f>E35+F35+G35+H35+I35</f>
        <v>413</v>
      </c>
    </row>
    <row r="36" spans="2:10" s="10" customFormat="1" ht="150" customHeight="1" thickBot="1">
      <c r="B36" s="350"/>
      <c r="C36" s="348"/>
      <c r="D36" s="267" t="s">
        <v>60</v>
      </c>
      <c r="E36" s="351"/>
      <c r="F36" s="351"/>
      <c r="G36" s="351"/>
      <c r="H36" s="351"/>
      <c r="I36" s="351"/>
      <c r="J36" s="352"/>
    </row>
    <row r="37" spans="2:10" s="10" customFormat="1" ht="150" customHeight="1" thickBot="1">
      <c r="B37" s="350"/>
      <c r="C37" s="341"/>
      <c r="D37" s="267" t="s">
        <v>68</v>
      </c>
      <c r="E37" s="351"/>
      <c r="F37" s="351"/>
      <c r="G37" s="351"/>
      <c r="H37" s="351"/>
      <c r="I37" s="351"/>
      <c r="J37" s="352"/>
    </row>
    <row r="38" spans="2:10" s="10" customFormat="1" ht="93" customHeight="1" thickBot="1">
      <c r="B38" s="346" t="s">
        <v>70</v>
      </c>
      <c r="C38" s="340">
        <v>3</v>
      </c>
      <c r="D38" s="267" t="s">
        <v>71</v>
      </c>
      <c r="E38" s="340">
        <v>257</v>
      </c>
      <c r="F38" s="340">
        <v>356</v>
      </c>
      <c r="G38" s="340">
        <f>111+22</f>
        <v>133</v>
      </c>
      <c r="H38" s="340">
        <f>26+5</f>
        <v>31</v>
      </c>
      <c r="I38" s="340">
        <f>91+5</f>
        <v>96</v>
      </c>
      <c r="J38" s="344">
        <f>E38+F38+G38+H38+I38</f>
        <v>873</v>
      </c>
    </row>
    <row r="39" spans="2:10" s="10" customFormat="1" ht="93" customHeight="1" thickBot="1">
      <c r="B39" s="353"/>
      <c r="C39" s="348"/>
      <c r="D39" s="267" t="s">
        <v>39</v>
      </c>
      <c r="E39" s="348"/>
      <c r="F39" s="348"/>
      <c r="G39" s="348"/>
      <c r="H39" s="348"/>
      <c r="I39" s="348"/>
      <c r="J39" s="349"/>
    </row>
    <row r="40" spans="2:10" s="10" customFormat="1" ht="150" customHeight="1" thickBot="1">
      <c r="B40" s="353"/>
      <c r="C40" s="341"/>
      <c r="D40" s="267" t="s">
        <v>68</v>
      </c>
      <c r="E40" s="341"/>
      <c r="F40" s="341"/>
      <c r="G40" s="341"/>
      <c r="H40" s="341"/>
      <c r="I40" s="341"/>
      <c r="J40" s="345"/>
    </row>
    <row r="41" spans="2:10" s="10" customFormat="1" ht="150" customHeight="1" thickBot="1">
      <c r="B41" s="16" t="s">
        <v>72</v>
      </c>
      <c r="C41" s="12">
        <v>1</v>
      </c>
      <c r="D41" s="267" t="s">
        <v>73</v>
      </c>
      <c r="E41" s="12">
        <v>43</v>
      </c>
      <c r="F41" s="12">
        <v>46</v>
      </c>
      <c r="G41" s="12">
        <f>21+9</f>
        <v>30</v>
      </c>
      <c r="H41" s="12">
        <f>5+5</f>
        <v>10</v>
      </c>
      <c r="I41" s="12">
        <f>5+11</f>
        <v>16</v>
      </c>
      <c r="J41" s="13">
        <f>E41+F41+G41+H41+I41</f>
        <v>145</v>
      </c>
    </row>
    <row r="42" spans="2:10" s="10" customFormat="1" ht="150" customHeight="1" thickBot="1">
      <c r="B42" s="17" t="s">
        <v>74</v>
      </c>
      <c r="C42" s="12">
        <v>1</v>
      </c>
      <c r="D42" s="267" t="s">
        <v>75</v>
      </c>
      <c r="E42" s="18">
        <v>477</v>
      </c>
      <c r="F42" s="12">
        <v>209</v>
      </c>
      <c r="G42" s="12">
        <f>28+95</f>
        <v>123</v>
      </c>
      <c r="H42" s="12">
        <f>7+5</f>
        <v>12</v>
      </c>
      <c r="I42" s="12">
        <f>104+5</f>
        <v>109</v>
      </c>
      <c r="J42" s="19">
        <f>E42+F42+G42+H42+I42</f>
        <v>930</v>
      </c>
    </row>
    <row r="43" spans="2:10" s="10" customFormat="1" ht="150" customHeight="1" thickBot="1">
      <c r="B43" s="11" t="s">
        <v>76</v>
      </c>
      <c r="C43" s="340">
        <v>2</v>
      </c>
      <c r="D43" s="267" t="s">
        <v>56</v>
      </c>
      <c r="E43" s="354">
        <v>90</v>
      </c>
      <c r="F43" s="340">
        <v>71</v>
      </c>
      <c r="G43" s="340">
        <f>20+69</f>
        <v>89</v>
      </c>
      <c r="H43" s="340">
        <f>10+5</f>
        <v>15</v>
      </c>
      <c r="I43" s="340">
        <f>5+33</f>
        <v>38</v>
      </c>
      <c r="J43" s="355">
        <f>E43+F43+G43+H43+I43</f>
        <v>303</v>
      </c>
    </row>
    <row r="44" spans="2:10" s="10" customFormat="1" ht="150" customHeight="1" thickBot="1">
      <c r="B44" s="20"/>
      <c r="C44" s="341"/>
      <c r="D44" s="267" t="s">
        <v>77</v>
      </c>
      <c r="E44" s="354"/>
      <c r="F44" s="340"/>
      <c r="G44" s="340"/>
      <c r="H44" s="340"/>
      <c r="I44" s="340"/>
      <c r="J44" s="355"/>
    </row>
    <row r="45" spans="2:10" s="10" customFormat="1" ht="99" customHeight="1" thickBot="1">
      <c r="B45" s="350" t="s">
        <v>78</v>
      </c>
      <c r="C45" s="340">
        <v>3</v>
      </c>
      <c r="D45" s="267" t="s">
        <v>50</v>
      </c>
      <c r="E45" s="351">
        <v>47</v>
      </c>
      <c r="F45" s="351">
        <v>10</v>
      </c>
      <c r="G45" s="351">
        <v>5</v>
      </c>
      <c r="H45" s="351">
        <v>5</v>
      </c>
      <c r="I45" s="351">
        <f>8+5</f>
        <v>13</v>
      </c>
      <c r="J45" s="352">
        <f>E45+F45+G45+H45+I45</f>
        <v>80</v>
      </c>
    </row>
    <row r="46" spans="2:10" s="10" customFormat="1" ht="99" customHeight="1" thickBot="1">
      <c r="B46" s="350"/>
      <c r="C46" s="348"/>
      <c r="D46" s="267" t="s">
        <v>169</v>
      </c>
      <c r="E46" s="351"/>
      <c r="F46" s="351"/>
      <c r="G46" s="351"/>
      <c r="H46" s="351"/>
      <c r="I46" s="351"/>
      <c r="J46" s="352"/>
    </row>
    <row r="47" spans="2:10" s="10" customFormat="1" ht="150" customHeight="1" thickBot="1">
      <c r="B47" s="350"/>
      <c r="C47" s="341"/>
      <c r="D47" s="267" t="s">
        <v>53</v>
      </c>
      <c r="E47" s="351"/>
      <c r="F47" s="351"/>
      <c r="G47" s="351"/>
      <c r="H47" s="351"/>
      <c r="I47" s="351"/>
      <c r="J47" s="352"/>
    </row>
    <row r="48" spans="2:10" s="10" customFormat="1" ht="150" customHeight="1" thickBot="1">
      <c r="B48" s="346" t="s">
        <v>79</v>
      </c>
      <c r="C48" s="340">
        <v>3</v>
      </c>
      <c r="D48" s="267" t="s">
        <v>170</v>
      </c>
      <c r="E48" s="340">
        <v>19</v>
      </c>
      <c r="F48" s="340">
        <v>18</v>
      </c>
      <c r="G48" s="340">
        <f>53+5</f>
        <v>58</v>
      </c>
      <c r="H48" s="340">
        <f>5+5</f>
        <v>10</v>
      </c>
      <c r="I48" s="340">
        <f>7+5</f>
        <v>12</v>
      </c>
      <c r="J48" s="344">
        <f>E48+F48+G48+H48+I48</f>
        <v>117</v>
      </c>
    </row>
    <row r="49" spans="1:11" s="10" customFormat="1" ht="150" customHeight="1" thickBot="1">
      <c r="B49" s="353"/>
      <c r="C49" s="348"/>
      <c r="D49" s="268" t="s">
        <v>40</v>
      </c>
      <c r="E49" s="348"/>
      <c r="F49" s="348"/>
      <c r="G49" s="348"/>
      <c r="H49" s="348"/>
      <c r="I49" s="348"/>
      <c r="J49" s="349"/>
    </row>
    <row r="50" spans="1:11" s="10" customFormat="1" ht="150" customHeight="1" thickBot="1">
      <c r="B50" s="347"/>
      <c r="C50" s="341"/>
      <c r="D50" s="267" t="s">
        <v>61</v>
      </c>
      <c r="E50" s="341"/>
      <c r="F50" s="341"/>
      <c r="G50" s="341"/>
      <c r="H50" s="341"/>
      <c r="I50" s="341"/>
      <c r="J50" s="345"/>
    </row>
    <row r="51" spans="1:11" s="10" customFormat="1" ht="150" customHeight="1" thickBot="1">
      <c r="B51" s="350" t="s">
        <v>80</v>
      </c>
      <c r="C51" s="340">
        <v>3</v>
      </c>
      <c r="D51" s="267" t="s">
        <v>51</v>
      </c>
      <c r="E51" s="340">
        <v>10</v>
      </c>
      <c r="F51" s="340">
        <v>5</v>
      </c>
      <c r="G51" s="340">
        <v>5</v>
      </c>
      <c r="H51" s="340">
        <v>5</v>
      </c>
      <c r="I51" s="340">
        <v>10</v>
      </c>
      <c r="J51" s="344">
        <f>E51+F51+G51+H51+I51</f>
        <v>35</v>
      </c>
    </row>
    <row r="52" spans="1:11" s="10" customFormat="1" ht="150" customHeight="1" thickBot="1">
      <c r="B52" s="350"/>
      <c r="C52" s="348"/>
      <c r="D52" s="267" t="s">
        <v>60</v>
      </c>
      <c r="E52" s="348"/>
      <c r="F52" s="348"/>
      <c r="G52" s="348"/>
      <c r="H52" s="348"/>
      <c r="I52" s="348"/>
      <c r="J52" s="349"/>
    </row>
    <row r="53" spans="1:11" s="10" customFormat="1" ht="75" customHeight="1" thickBot="1">
      <c r="B53" s="350"/>
      <c r="C53" s="341"/>
      <c r="D53" s="267" t="s">
        <v>81</v>
      </c>
      <c r="E53" s="341"/>
      <c r="F53" s="341"/>
      <c r="G53" s="341"/>
      <c r="H53" s="341"/>
      <c r="I53" s="341"/>
      <c r="J53" s="345"/>
    </row>
    <row r="54" spans="1:11" s="10" customFormat="1" ht="75" customHeight="1" thickBot="1">
      <c r="B54" s="342" t="s">
        <v>82</v>
      </c>
      <c r="C54" s="340">
        <v>2</v>
      </c>
      <c r="D54" s="267" t="s">
        <v>59</v>
      </c>
      <c r="E54" s="21"/>
      <c r="F54" s="21"/>
      <c r="G54" s="21"/>
      <c r="H54" s="21"/>
      <c r="I54" s="21"/>
      <c r="J54" s="22"/>
    </row>
    <row r="55" spans="1:11" s="10" customFormat="1" ht="138" customHeight="1" thickBot="1">
      <c r="B55" s="357"/>
      <c r="C55" s="341"/>
      <c r="D55" s="267" t="s">
        <v>53</v>
      </c>
      <c r="E55" s="23">
        <v>213</v>
      </c>
      <c r="F55" s="23">
        <v>123</v>
      </c>
      <c r="G55" s="23">
        <f>24+38</f>
        <v>62</v>
      </c>
      <c r="H55" s="23">
        <f>10+5</f>
        <v>15</v>
      </c>
      <c r="I55" s="23">
        <f>5+79</f>
        <v>84</v>
      </c>
      <c r="J55" s="24">
        <f>E55+F55+G55+H55+I55</f>
        <v>497</v>
      </c>
    </row>
    <row r="56" spans="1:11" s="25" customFormat="1" ht="200.1" customHeight="1" thickTop="1" thickBot="1">
      <c r="B56" s="26" t="s">
        <v>83</v>
      </c>
      <c r="C56" s="27"/>
      <c r="D56" s="28"/>
      <c r="E56" s="29">
        <f t="shared" ref="E56:J56" si="0">SUM(E7:E55)</f>
        <v>2361</v>
      </c>
      <c r="F56" s="30">
        <f t="shared" si="0"/>
        <v>2009</v>
      </c>
      <c r="G56" s="30">
        <f t="shared" si="0"/>
        <v>1406</v>
      </c>
      <c r="H56" s="30">
        <f t="shared" si="0"/>
        <v>237</v>
      </c>
      <c r="I56" s="30">
        <f t="shared" si="0"/>
        <v>712</v>
      </c>
      <c r="J56" s="31">
        <f t="shared" si="0"/>
        <v>6725</v>
      </c>
    </row>
    <row r="57" spans="1:11" ht="159" customHeight="1" thickTop="1">
      <c r="B57" s="358" t="s">
        <v>176</v>
      </c>
      <c r="C57" s="358"/>
      <c r="D57" s="358"/>
      <c r="E57" s="358"/>
      <c r="F57" s="358"/>
      <c r="G57" s="358"/>
      <c r="H57" s="358"/>
      <c r="I57" s="358"/>
      <c r="J57" s="358"/>
    </row>
    <row r="58" spans="1:11" ht="159" customHeight="1"/>
    <row r="59" spans="1:11" ht="200.1" customHeight="1">
      <c r="B59" s="34"/>
      <c r="C59" s="34"/>
      <c r="D59" s="34"/>
      <c r="E59" s="34"/>
      <c r="F59" s="34"/>
      <c r="G59" s="34"/>
      <c r="H59" s="34"/>
      <c r="I59" s="34"/>
      <c r="J59" s="34"/>
    </row>
    <row r="60" spans="1:11" ht="200.1" customHeight="1"/>
    <row r="61" spans="1:11" ht="75.75" customHeight="1">
      <c r="B61" s="35"/>
    </row>
    <row r="62" spans="1:11" ht="120.75" customHeight="1"/>
    <row r="64" spans="1:11" ht="26.25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</row>
    <row r="65" spans="1:1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3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2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2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2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2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2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2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2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2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2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2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3.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5" spans="1:11" ht="18">
      <c r="A95" s="356"/>
      <c r="B95" s="356"/>
      <c r="C95" s="356"/>
      <c r="D95" s="356"/>
      <c r="E95" s="356"/>
      <c r="F95" s="356"/>
      <c r="G95" s="356"/>
      <c r="H95" s="356"/>
      <c r="I95" s="356"/>
      <c r="J95" s="356"/>
      <c r="K95" s="356"/>
    </row>
  </sheetData>
  <sheetProtection selectLockedCells="1" selectUnlockedCells="1"/>
  <mergeCells count="133">
    <mergeCell ref="A95:K95"/>
    <mergeCell ref="I51:I53"/>
    <mergeCell ref="J51:J53"/>
    <mergeCell ref="B54:B55"/>
    <mergeCell ref="C54:C55"/>
    <mergeCell ref="B57:J57"/>
    <mergeCell ref="A64:K64"/>
    <mergeCell ref="B51:B53"/>
    <mergeCell ref="C51:C53"/>
    <mergeCell ref="E51:E53"/>
    <mergeCell ref="F51:F53"/>
    <mergeCell ref="G51:G53"/>
    <mergeCell ref="H51:H53"/>
    <mergeCell ref="E43:E44"/>
    <mergeCell ref="F43:F44"/>
    <mergeCell ref="G43:G44"/>
    <mergeCell ref="H43:H44"/>
    <mergeCell ref="I43:I44"/>
    <mergeCell ref="J43:J44"/>
    <mergeCell ref="I45:I47"/>
    <mergeCell ref="J45:J47"/>
    <mergeCell ref="B48:B50"/>
    <mergeCell ref="C48:C50"/>
    <mergeCell ref="E48:E50"/>
    <mergeCell ref="F48:F50"/>
    <mergeCell ref="G48:G50"/>
    <mergeCell ref="H48:H50"/>
    <mergeCell ref="I48:I50"/>
    <mergeCell ref="J48:J50"/>
    <mergeCell ref="B45:B47"/>
    <mergeCell ref="C45:C47"/>
    <mergeCell ref="E45:E47"/>
    <mergeCell ref="F45:F47"/>
    <mergeCell ref="G45:G47"/>
    <mergeCell ref="H45:H47"/>
    <mergeCell ref="B38:B40"/>
    <mergeCell ref="C38:C40"/>
    <mergeCell ref="E38:E40"/>
    <mergeCell ref="F38:F40"/>
    <mergeCell ref="G38:G40"/>
    <mergeCell ref="H38:H40"/>
    <mergeCell ref="I32:I33"/>
    <mergeCell ref="J32:J33"/>
    <mergeCell ref="B35:B37"/>
    <mergeCell ref="C35:C37"/>
    <mergeCell ref="E35:E37"/>
    <mergeCell ref="F35:F37"/>
    <mergeCell ref="G35:G37"/>
    <mergeCell ref="H35:H37"/>
    <mergeCell ref="I35:I37"/>
    <mergeCell ref="J35:J37"/>
    <mergeCell ref="B32:B33"/>
    <mergeCell ref="C32:C33"/>
    <mergeCell ref="E32:E33"/>
    <mergeCell ref="F32:F33"/>
    <mergeCell ref="G32:G33"/>
    <mergeCell ref="H32:H33"/>
    <mergeCell ref="I38:I40"/>
    <mergeCell ref="J38:J40"/>
    <mergeCell ref="I26:I28"/>
    <mergeCell ref="J26:J28"/>
    <mergeCell ref="B29:B31"/>
    <mergeCell ref="C29:C31"/>
    <mergeCell ref="E29:E31"/>
    <mergeCell ref="F29:F31"/>
    <mergeCell ref="G29:G31"/>
    <mergeCell ref="H29:H31"/>
    <mergeCell ref="I29:I31"/>
    <mergeCell ref="J29:J31"/>
    <mergeCell ref="B26:B28"/>
    <mergeCell ref="C26:C28"/>
    <mergeCell ref="E26:E28"/>
    <mergeCell ref="F26:F28"/>
    <mergeCell ref="G26:G28"/>
    <mergeCell ref="H26:H28"/>
    <mergeCell ref="I22:I23"/>
    <mergeCell ref="J22:J23"/>
    <mergeCell ref="B24:B25"/>
    <mergeCell ref="C24:C25"/>
    <mergeCell ref="E24:E25"/>
    <mergeCell ref="F24:F25"/>
    <mergeCell ref="G24:G25"/>
    <mergeCell ref="H24:H25"/>
    <mergeCell ref="I24:I25"/>
    <mergeCell ref="J24:J25"/>
    <mergeCell ref="B22:B23"/>
    <mergeCell ref="C22:C23"/>
    <mergeCell ref="E22:E23"/>
    <mergeCell ref="F22:F23"/>
    <mergeCell ref="G22:G23"/>
    <mergeCell ref="H22:H23"/>
    <mergeCell ref="G8:G9"/>
    <mergeCell ref="H8:H9"/>
    <mergeCell ref="I14:I19"/>
    <mergeCell ref="J14:J19"/>
    <mergeCell ref="B20:B21"/>
    <mergeCell ref="C20:C21"/>
    <mergeCell ref="E20:E21"/>
    <mergeCell ref="F20:F21"/>
    <mergeCell ref="G20:G21"/>
    <mergeCell ref="H20:H21"/>
    <mergeCell ref="I20:I21"/>
    <mergeCell ref="J20:J21"/>
    <mergeCell ref="B14:B19"/>
    <mergeCell ref="C14:C19"/>
    <mergeCell ref="E14:E19"/>
    <mergeCell ref="F14:F19"/>
    <mergeCell ref="G14:G19"/>
    <mergeCell ref="H14:H19"/>
    <mergeCell ref="A1:K1"/>
    <mergeCell ref="A2:K2"/>
    <mergeCell ref="A3:K3"/>
    <mergeCell ref="A4:K4"/>
    <mergeCell ref="B5:B6"/>
    <mergeCell ref="C5:D6"/>
    <mergeCell ref="E5:J5"/>
    <mergeCell ref="C43:C44"/>
    <mergeCell ref="B12:B13"/>
    <mergeCell ref="C12:C13"/>
    <mergeCell ref="I8:I9"/>
    <mergeCell ref="J8:J9"/>
    <mergeCell ref="B10:B11"/>
    <mergeCell ref="C10:C11"/>
    <mergeCell ref="E10:E11"/>
    <mergeCell ref="F10:F11"/>
    <mergeCell ref="G10:G11"/>
    <mergeCell ref="H10:H11"/>
    <mergeCell ref="I10:I11"/>
    <mergeCell ref="J10:J11"/>
    <mergeCell ref="B8:B9"/>
    <mergeCell ref="C8:C9"/>
    <mergeCell ref="E8:E9"/>
    <mergeCell ref="F8:F9"/>
  </mergeCells>
  <printOptions horizontalCentered="1" verticalCentered="1"/>
  <pageMargins left="0.39370078740157483" right="0.39370078740157483" top="0.39370078740157483" bottom="1.1811023622047245" header="0.31496062992125984" footer="0.51181102362204722"/>
  <pageSetup paperSize="9" scale="10" firstPageNumber="0" orientation="portrait" verticalDpi="300" r:id="rId1"/>
  <headerFooter scaleWithDoc="0" alignWithMargins="0">
    <oddFooter>&amp;R&amp;"Verdana,Normale"&amp;8MINISTERO DELLA SALUTE Direzione Generale per l'Igiene e la Sicurezza degli Alimenti e la NutrizionePagina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29"/>
  <sheetViews>
    <sheetView view="pageBreakPreview" zoomScale="30" zoomScaleSheetLayoutView="30" workbookViewId="0">
      <selection activeCell="B2" sqref="B2:M2"/>
    </sheetView>
  </sheetViews>
  <sheetFormatPr defaultColWidth="9.140625" defaultRowHeight="12.75"/>
  <cols>
    <col min="1" max="1" width="14.42578125" style="32" customWidth="1"/>
    <col min="2" max="2" width="25.5703125" style="32" customWidth="1"/>
    <col min="3" max="13" width="25.7109375" style="32" customWidth="1"/>
    <col min="14" max="16384" width="9.140625" style="32"/>
  </cols>
  <sheetData>
    <row r="1" spans="2:26" ht="33.75">
      <c r="B1" s="360" t="s">
        <v>124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2:26" ht="52.5" customHeight="1">
      <c r="B2" s="361" t="s">
        <v>198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2:26" ht="33.75">
      <c r="B3" s="360" t="s">
        <v>132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2:26" ht="27" customHeight="1"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2:26" ht="27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2:26" ht="50.1" customHeight="1" thickBot="1">
      <c r="B6" s="362" t="s">
        <v>127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</row>
    <row r="7" spans="2:26" ht="91.5" customHeight="1" thickBot="1">
      <c r="B7" s="134" t="s">
        <v>153</v>
      </c>
      <c r="C7" s="135" t="s">
        <v>186</v>
      </c>
      <c r="D7" s="136" t="s">
        <v>187</v>
      </c>
      <c r="E7" s="137" t="s">
        <v>188</v>
      </c>
      <c r="F7" s="138" t="s">
        <v>189</v>
      </c>
      <c r="G7" s="139" t="s">
        <v>190</v>
      </c>
      <c r="H7" s="140" t="s">
        <v>191</v>
      </c>
      <c r="I7" s="141" t="s">
        <v>192</v>
      </c>
      <c r="J7" s="142" t="s">
        <v>193</v>
      </c>
      <c r="K7" s="143" t="s">
        <v>194</v>
      </c>
      <c r="L7" s="144" t="s">
        <v>195</v>
      </c>
      <c r="M7" s="145" t="s">
        <v>196</v>
      </c>
      <c r="O7" s="250" t="s">
        <v>153</v>
      </c>
      <c r="P7" s="251" t="s">
        <v>154</v>
      </c>
      <c r="Q7" s="251" t="s">
        <v>155</v>
      </c>
      <c r="R7" s="251" t="s">
        <v>156</v>
      </c>
      <c r="S7" s="251" t="s">
        <v>157</v>
      </c>
      <c r="T7" s="251" t="s">
        <v>158</v>
      </c>
      <c r="U7" s="251" t="s">
        <v>159</v>
      </c>
      <c r="V7" s="252" t="s">
        <v>160</v>
      </c>
      <c r="W7" s="252" t="s">
        <v>161</v>
      </c>
      <c r="X7" s="32" t="s">
        <v>171</v>
      </c>
      <c r="Y7" s="32" t="s">
        <v>172</v>
      </c>
      <c r="Z7" s="32" t="s">
        <v>173</v>
      </c>
    </row>
    <row r="8" spans="2:26" ht="35.1" customHeight="1" thickBot="1">
      <c r="B8" s="146" t="s">
        <v>123</v>
      </c>
      <c r="C8" s="147">
        <v>1</v>
      </c>
      <c r="D8" s="147">
        <v>3</v>
      </c>
      <c r="E8" s="147">
        <v>2</v>
      </c>
      <c r="F8" s="147">
        <v>4</v>
      </c>
      <c r="G8" s="147">
        <v>4</v>
      </c>
      <c r="H8" s="147">
        <v>3</v>
      </c>
      <c r="I8" s="148">
        <v>7</v>
      </c>
      <c r="J8" s="147">
        <v>7</v>
      </c>
      <c r="K8" s="147">
        <v>5</v>
      </c>
      <c r="L8" s="147">
        <v>2</v>
      </c>
      <c r="M8" s="147">
        <v>4</v>
      </c>
      <c r="O8" s="253" t="s">
        <v>123</v>
      </c>
      <c r="P8" s="254">
        <v>1</v>
      </c>
      <c r="Q8" s="255">
        <v>4</v>
      </c>
      <c r="R8" s="255">
        <v>2</v>
      </c>
      <c r="S8" s="256">
        <v>1</v>
      </c>
      <c r="T8" s="254">
        <v>10</v>
      </c>
      <c r="U8" s="256">
        <v>2</v>
      </c>
      <c r="V8" s="254">
        <v>4</v>
      </c>
      <c r="W8" s="257">
        <v>4</v>
      </c>
      <c r="X8" s="32">
        <v>1</v>
      </c>
      <c r="Y8" s="32">
        <v>2</v>
      </c>
      <c r="Z8" s="32">
        <v>1</v>
      </c>
    </row>
    <row r="9" spans="2:26" ht="35.1" customHeight="1" thickBot="1">
      <c r="B9" s="146" t="s">
        <v>38</v>
      </c>
      <c r="C9" s="147">
        <v>1</v>
      </c>
      <c r="D9" s="147">
        <v>1</v>
      </c>
      <c r="E9" s="147">
        <v>3</v>
      </c>
      <c r="F9" s="147">
        <v>1</v>
      </c>
      <c r="G9" s="147">
        <v>3</v>
      </c>
      <c r="H9" s="147">
        <v>3</v>
      </c>
      <c r="I9" s="148">
        <v>5</v>
      </c>
      <c r="J9" s="147">
        <v>1</v>
      </c>
      <c r="K9" s="147">
        <v>3</v>
      </c>
      <c r="L9" s="147">
        <v>10</v>
      </c>
      <c r="M9" s="147">
        <v>4</v>
      </c>
      <c r="O9" s="253" t="s">
        <v>38</v>
      </c>
      <c r="P9" s="254">
        <v>1</v>
      </c>
      <c r="Q9" s="255">
        <v>4</v>
      </c>
      <c r="R9" s="255">
        <v>2</v>
      </c>
      <c r="S9" s="256">
        <v>2</v>
      </c>
      <c r="T9" s="254">
        <v>4</v>
      </c>
      <c r="U9" s="256">
        <v>2</v>
      </c>
      <c r="V9" s="254">
        <v>4</v>
      </c>
      <c r="W9" s="257">
        <v>4</v>
      </c>
      <c r="X9" s="32">
        <v>3</v>
      </c>
      <c r="Y9" s="32">
        <v>1</v>
      </c>
      <c r="Z9" s="32">
        <v>1</v>
      </c>
    </row>
    <row r="10" spans="2:26" ht="35.1" customHeight="1" thickBot="1">
      <c r="B10" s="146" t="s">
        <v>119</v>
      </c>
      <c r="C10" s="147">
        <v>32</v>
      </c>
      <c r="D10" s="147">
        <v>4</v>
      </c>
      <c r="E10" s="147">
        <v>1</v>
      </c>
      <c r="F10" s="147">
        <v>1</v>
      </c>
      <c r="G10" s="147">
        <v>1</v>
      </c>
      <c r="H10" s="147">
        <v>1</v>
      </c>
      <c r="I10" s="148">
        <v>1</v>
      </c>
      <c r="J10" s="147">
        <v>1</v>
      </c>
      <c r="K10" s="147">
        <v>1</v>
      </c>
      <c r="L10" s="147">
        <v>1</v>
      </c>
      <c r="M10" s="147">
        <v>2</v>
      </c>
      <c r="O10" s="258" t="s">
        <v>119</v>
      </c>
      <c r="P10" s="254">
        <v>1</v>
      </c>
      <c r="Q10" s="255">
        <v>4</v>
      </c>
      <c r="R10" s="255">
        <v>2</v>
      </c>
      <c r="S10" s="256">
        <v>1</v>
      </c>
      <c r="T10" s="254">
        <v>1</v>
      </c>
      <c r="U10" s="256">
        <v>1</v>
      </c>
      <c r="V10" s="254">
        <v>4</v>
      </c>
      <c r="W10" s="257">
        <v>1</v>
      </c>
      <c r="X10" s="32">
        <v>1</v>
      </c>
      <c r="Y10" s="32">
        <v>1</v>
      </c>
      <c r="Z10" s="32">
        <v>1</v>
      </c>
    </row>
    <row r="11" spans="2:26" ht="35.1" customHeight="1" thickBot="1">
      <c r="B11" s="146" t="s">
        <v>44</v>
      </c>
      <c r="C11" s="147">
        <v>1</v>
      </c>
      <c r="D11" s="147">
        <v>6</v>
      </c>
      <c r="E11" s="147">
        <v>4</v>
      </c>
      <c r="F11" s="147">
        <v>1</v>
      </c>
      <c r="G11" s="147">
        <v>3</v>
      </c>
      <c r="H11" s="147">
        <v>6</v>
      </c>
      <c r="I11" s="148">
        <v>5</v>
      </c>
      <c r="J11" s="147">
        <v>1</v>
      </c>
      <c r="K11" s="147">
        <v>1</v>
      </c>
      <c r="L11" s="147">
        <v>10</v>
      </c>
      <c r="M11" s="147">
        <v>4</v>
      </c>
      <c r="O11" s="253" t="s">
        <v>44</v>
      </c>
      <c r="P11" s="254">
        <v>1</v>
      </c>
      <c r="Q11" s="255">
        <v>4</v>
      </c>
      <c r="R11" s="255">
        <v>10</v>
      </c>
      <c r="S11" s="256">
        <v>6</v>
      </c>
      <c r="T11" s="254">
        <v>6</v>
      </c>
      <c r="U11" s="256">
        <v>3</v>
      </c>
      <c r="V11" s="254">
        <v>4</v>
      </c>
      <c r="W11" s="257">
        <v>9</v>
      </c>
      <c r="X11" s="32">
        <v>1</v>
      </c>
      <c r="Y11" s="32">
        <v>20</v>
      </c>
      <c r="Z11" s="32">
        <v>1</v>
      </c>
    </row>
    <row r="12" spans="2:26" ht="35.1" customHeight="1" thickBot="1">
      <c r="B12" s="146" t="s">
        <v>46</v>
      </c>
      <c r="C12" s="147">
        <v>2</v>
      </c>
      <c r="D12" s="147">
        <v>1</v>
      </c>
      <c r="E12" s="147">
        <v>20</v>
      </c>
      <c r="F12" s="147">
        <v>2</v>
      </c>
      <c r="G12" s="147">
        <v>6</v>
      </c>
      <c r="H12" s="147">
        <v>4</v>
      </c>
      <c r="I12" s="148">
        <v>8</v>
      </c>
      <c r="J12" s="147">
        <v>4</v>
      </c>
      <c r="K12" s="147">
        <v>3</v>
      </c>
      <c r="L12" s="147">
        <v>7</v>
      </c>
      <c r="M12" s="147">
        <v>4</v>
      </c>
      <c r="O12" s="253" t="s">
        <v>46</v>
      </c>
      <c r="P12" s="254">
        <v>1</v>
      </c>
      <c r="Q12" s="255">
        <v>4</v>
      </c>
      <c r="R12" s="255">
        <v>2</v>
      </c>
      <c r="S12" s="256">
        <v>16</v>
      </c>
      <c r="T12" s="254">
        <v>13</v>
      </c>
      <c r="U12" s="256">
        <v>4</v>
      </c>
      <c r="V12" s="254">
        <v>4</v>
      </c>
      <c r="W12" s="257">
        <v>8</v>
      </c>
      <c r="X12" s="32">
        <v>2</v>
      </c>
      <c r="Y12" s="32">
        <v>5</v>
      </c>
      <c r="Z12" s="32">
        <v>1</v>
      </c>
    </row>
    <row r="13" spans="2:26" ht="35.1" customHeight="1" thickBot="1">
      <c r="B13" s="146" t="s">
        <v>122</v>
      </c>
      <c r="C13" s="147">
        <v>6</v>
      </c>
      <c r="D13" s="147">
        <v>16</v>
      </c>
      <c r="E13" s="147">
        <v>10</v>
      </c>
      <c r="F13" s="147">
        <v>10</v>
      </c>
      <c r="G13" s="147">
        <v>10</v>
      </c>
      <c r="H13" s="147">
        <v>1</v>
      </c>
      <c r="I13" s="148">
        <v>2</v>
      </c>
      <c r="J13" s="147">
        <v>16</v>
      </c>
      <c r="K13" s="147">
        <v>9</v>
      </c>
      <c r="L13" s="147">
        <v>1</v>
      </c>
      <c r="M13" s="147">
        <v>4</v>
      </c>
      <c r="O13" s="253" t="s">
        <v>122</v>
      </c>
      <c r="P13" s="254">
        <v>1</v>
      </c>
      <c r="Q13" s="255">
        <v>4</v>
      </c>
      <c r="R13" s="255">
        <v>2</v>
      </c>
      <c r="S13" s="256">
        <v>1</v>
      </c>
      <c r="T13" s="254">
        <v>1</v>
      </c>
      <c r="U13" s="256">
        <v>5</v>
      </c>
      <c r="V13" s="254">
        <v>4</v>
      </c>
      <c r="W13" s="257">
        <v>1</v>
      </c>
      <c r="X13" s="32">
        <v>13</v>
      </c>
      <c r="Y13" s="32">
        <v>1</v>
      </c>
      <c r="Z13" s="32">
        <v>1</v>
      </c>
    </row>
    <row r="14" spans="2:26" ht="35.1" customHeight="1" thickBot="1">
      <c r="B14" s="146" t="s">
        <v>121</v>
      </c>
      <c r="C14" s="147">
        <v>1</v>
      </c>
      <c r="D14" s="147">
        <v>1</v>
      </c>
      <c r="E14" s="147">
        <v>1</v>
      </c>
      <c r="F14" s="147">
        <v>2</v>
      </c>
      <c r="G14" s="147">
        <v>1</v>
      </c>
      <c r="H14" s="147">
        <v>1</v>
      </c>
      <c r="I14" s="148">
        <v>1</v>
      </c>
      <c r="J14" s="147">
        <v>1</v>
      </c>
      <c r="K14" s="147">
        <v>2</v>
      </c>
      <c r="L14" s="147">
        <v>1</v>
      </c>
      <c r="M14" s="147">
        <v>4</v>
      </c>
      <c r="O14" s="253" t="s">
        <v>121</v>
      </c>
      <c r="P14" s="254">
        <v>1</v>
      </c>
      <c r="Q14" s="255">
        <v>4</v>
      </c>
      <c r="R14" s="255">
        <v>2</v>
      </c>
      <c r="S14" s="256">
        <v>1</v>
      </c>
      <c r="T14" s="254">
        <v>1</v>
      </c>
      <c r="U14" s="256">
        <v>1</v>
      </c>
      <c r="V14" s="254">
        <v>4</v>
      </c>
      <c r="W14" s="257">
        <v>1</v>
      </c>
      <c r="X14" s="32">
        <v>1</v>
      </c>
      <c r="Y14" s="32">
        <v>1</v>
      </c>
      <c r="Z14" s="32">
        <v>1</v>
      </c>
    </row>
    <row r="15" spans="2:26" ht="35.1" customHeight="1" thickBot="1">
      <c r="B15" s="146" t="s">
        <v>54</v>
      </c>
      <c r="C15" s="147">
        <v>1</v>
      </c>
      <c r="D15" s="147">
        <v>11</v>
      </c>
      <c r="E15" s="147">
        <v>2</v>
      </c>
      <c r="F15" s="147">
        <v>2</v>
      </c>
      <c r="G15" s="147">
        <v>3</v>
      </c>
      <c r="H15" s="147">
        <v>3</v>
      </c>
      <c r="I15" s="148">
        <v>4</v>
      </c>
      <c r="J15" s="147">
        <v>9</v>
      </c>
      <c r="K15" s="147">
        <v>2</v>
      </c>
      <c r="L15" s="147">
        <v>1</v>
      </c>
      <c r="M15" s="147">
        <v>4</v>
      </c>
      <c r="O15" s="253" t="s">
        <v>54</v>
      </c>
      <c r="P15" s="254">
        <v>2</v>
      </c>
      <c r="Q15" s="255">
        <v>4</v>
      </c>
      <c r="R15" s="255">
        <v>2</v>
      </c>
      <c r="S15" s="256">
        <v>3</v>
      </c>
      <c r="T15" s="254">
        <v>3</v>
      </c>
      <c r="U15" s="256">
        <v>3</v>
      </c>
      <c r="V15" s="254">
        <v>4</v>
      </c>
      <c r="W15" s="257">
        <v>5</v>
      </c>
      <c r="X15" s="32">
        <v>2</v>
      </c>
      <c r="Y15" s="32">
        <v>2</v>
      </c>
      <c r="Z15" s="32">
        <v>1</v>
      </c>
    </row>
    <row r="16" spans="2:26" ht="35.1" customHeight="1" thickBot="1">
      <c r="B16" s="146" t="s">
        <v>57</v>
      </c>
      <c r="C16" s="147">
        <v>1</v>
      </c>
      <c r="D16" s="147">
        <v>1</v>
      </c>
      <c r="E16" s="147">
        <v>1</v>
      </c>
      <c r="F16" s="147">
        <v>1</v>
      </c>
      <c r="G16" s="147">
        <v>1</v>
      </c>
      <c r="H16" s="147">
        <v>1</v>
      </c>
      <c r="I16" s="148">
        <v>1</v>
      </c>
      <c r="J16" s="147">
        <v>1</v>
      </c>
      <c r="K16" s="147">
        <v>1</v>
      </c>
      <c r="L16" s="147">
        <v>1</v>
      </c>
      <c r="M16" s="147">
        <v>4</v>
      </c>
      <c r="O16" s="253" t="s">
        <v>57</v>
      </c>
      <c r="P16" s="254">
        <v>1</v>
      </c>
      <c r="Q16" s="255">
        <v>4</v>
      </c>
      <c r="R16" s="255">
        <v>2</v>
      </c>
      <c r="S16" s="256">
        <v>1</v>
      </c>
      <c r="T16" s="254">
        <v>1</v>
      </c>
      <c r="U16" s="256">
        <v>1</v>
      </c>
      <c r="V16" s="254">
        <v>4</v>
      </c>
      <c r="W16" s="257">
        <v>1</v>
      </c>
      <c r="X16" s="32">
        <v>1</v>
      </c>
      <c r="Y16" s="32">
        <v>1</v>
      </c>
      <c r="Z16" s="32">
        <v>1</v>
      </c>
    </row>
    <row r="17" spans="2:26" ht="35.1" customHeight="1" thickBot="1">
      <c r="B17" s="146" t="s">
        <v>62</v>
      </c>
      <c r="C17" s="147">
        <v>2</v>
      </c>
      <c r="D17" s="147">
        <v>1</v>
      </c>
      <c r="E17" s="147">
        <v>1</v>
      </c>
      <c r="F17" s="147">
        <v>2</v>
      </c>
      <c r="G17" s="147">
        <v>3</v>
      </c>
      <c r="H17" s="147">
        <v>1</v>
      </c>
      <c r="I17" s="148">
        <v>1</v>
      </c>
      <c r="J17" s="147">
        <v>2</v>
      </c>
      <c r="K17" s="147">
        <v>9</v>
      </c>
      <c r="L17" s="147">
        <v>1</v>
      </c>
      <c r="M17" s="147">
        <v>4</v>
      </c>
      <c r="O17" s="253" t="s">
        <v>62</v>
      </c>
      <c r="P17" s="254">
        <v>1</v>
      </c>
      <c r="Q17" s="255">
        <v>4</v>
      </c>
      <c r="R17" s="255">
        <v>2</v>
      </c>
      <c r="S17" s="256">
        <v>1</v>
      </c>
      <c r="T17" s="254">
        <v>1</v>
      </c>
      <c r="U17" s="256">
        <v>11</v>
      </c>
      <c r="V17" s="254">
        <v>4</v>
      </c>
      <c r="W17" s="257">
        <v>1</v>
      </c>
      <c r="X17" s="32">
        <v>4</v>
      </c>
      <c r="Y17" s="32">
        <v>1</v>
      </c>
      <c r="Z17" s="32">
        <v>1</v>
      </c>
    </row>
    <row r="18" spans="2:26" ht="35.1" customHeight="1" thickBot="1">
      <c r="B18" s="146" t="s">
        <v>65</v>
      </c>
      <c r="C18" s="147">
        <v>1</v>
      </c>
      <c r="D18" s="147">
        <v>1</v>
      </c>
      <c r="E18" s="147">
        <v>1</v>
      </c>
      <c r="F18" s="147">
        <v>1</v>
      </c>
      <c r="G18" s="147">
        <v>1</v>
      </c>
      <c r="H18" s="147">
        <v>2</v>
      </c>
      <c r="I18" s="148">
        <v>1</v>
      </c>
      <c r="J18" s="147">
        <v>7</v>
      </c>
      <c r="K18" s="147">
        <v>5</v>
      </c>
      <c r="L18" s="147">
        <v>1</v>
      </c>
      <c r="M18" s="147">
        <v>4</v>
      </c>
      <c r="O18" s="253" t="s">
        <v>65</v>
      </c>
      <c r="P18" s="254">
        <v>1</v>
      </c>
      <c r="Q18" s="255">
        <v>4</v>
      </c>
      <c r="R18" s="255">
        <v>2</v>
      </c>
      <c r="S18" s="256">
        <v>1</v>
      </c>
      <c r="T18" s="254">
        <v>2</v>
      </c>
      <c r="U18" s="256">
        <v>1</v>
      </c>
      <c r="V18" s="254">
        <v>4</v>
      </c>
      <c r="W18" s="257">
        <v>1</v>
      </c>
      <c r="X18" s="32">
        <v>6</v>
      </c>
      <c r="Y18" s="32">
        <v>1</v>
      </c>
      <c r="Z18" s="32">
        <v>1</v>
      </c>
    </row>
    <row r="19" spans="2:26" ht="35.1" customHeight="1" thickBot="1">
      <c r="B19" s="146" t="s">
        <v>67</v>
      </c>
      <c r="C19" s="147">
        <v>1</v>
      </c>
      <c r="D19" s="147">
        <v>4</v>
      </c>
      <c r="E19" s="147">
        <v>1</v>
      </c>
      <c r="F19" s="147">
        <v>1</v>
      </c>
      <c r="G19" s="147">
        <v>1</v>
      </c>
      <c r="H19" s="147">
        <v>1</v>
      </c>
      <c r="I19" s="148">
        <v>1</v>
      </c>
      <c r="J19" s="147">
        <v>2</v>
      </c>
      <c r="K19" s="147">
        <v>1</v>
      </c>
      <c r="L19" s="147">
        <v>1</v>
      </c>
      <c r="M19" s="147">
        <v>2</v>
      </c>
      <c r="O19" s="253" t="s">
        <v>162</v>
      </c>
      <c r="P19" s="254">
        <v>1</v>
      </c>
      <c r="Q19" s="255">
        <v>2</v>
      </c>
      <c r="R19" s="255">
        <v>2</v>
      </c>
      <c r="S19" s="256">
        <v>1</v>
      </c>
      <c r="T19" s="254">
        <v>1</v>
      </c>
      <c r="U19" s="256">
        <v>1</v>
      </c>
      <c r="V19" s="254">
        <v>2</v>
      </c>
      <c r="W19" s="257">
        <v>1</v>
      </c>
      <c r="X19" s="32">
        <v>2</v>
      </c>
      <c r="Y19" s="32">
        <v>2</v>
      </c>
      <c r="Z19" s="32">
        <v>1</v>
      </c>
    </row>
    <row r="20" spans="2:26" ht="35.1" customHeight="1" thickBot="1">
      <c r="B20" s="146" t="s">
        <v>69</v>
      </c>
      <c r="C20" s="147">
        <v>6</v>
      </c>
      <c r="D20" s="147">
        <v>5</v>
      </c>
      <c r="E20" s="147">
        <v>4</v>
      </c>
      <c r="F20" s="147">
        <v>4</v>
      </c>
      <c r="G20" s="147">
        <v>1</v>
      </c>
      <c r="H20" s="147">
        <v>1</v>
      </c>
      <c r="I20" s="148">
        <v>1</v>
      </c>
      <c r="J20" s="147">
        <v>3</v>
      </c>
      <c r="K20" s="147">
        <v>6</v>
      </c>
      <c r="L20" s="147">
        <v>1</v>
      </c>
      <c r="M20" s="147">
        <v>4</v>
      </c>
      <c r="O20" s="253" t="s">
        <v>69</v>
      </c>
      <c r="P20" s="254">
        <v>1</v>
      </c>
      <c r="Q20" s="255">
        <v>4</v>
      </c>
      <c r="R20" s="255">
        <v>2</v>
      </c>
      <c r="S20" s="256">
        <v>1</v>
      </c>
      <c r="T20" s="254">
        <v>1</v>
      </c>
      <c r="U20" s="256">
        <v>1</v>
      </c>
      <c r="V20" s="254">
        <v>4</v>
      </c>
      <c r="W20" s="257">
        <v>2</v>
      </c>
      <c r="X20" s="32">
        <v>5</v>
      </c>
      <c r="Y20" s="32">
        <v>1</v>
      </c>
      <c r="Z20" s="32">
        <v>1</v>
      </c>
    </row>
    <row r="21" spans="2:26" ht="35.1" customHeight="1" thickBot="1">
      <c r="B21" s="146" t="s">
        <v>70</v>
      </c>
      <c r="C21" s="147">
        <v>1</v>
      </c>
      <c r="D21" s="147">
        <v>1</v>
      </c>
      <c r="E21" s="147">
        <v>6</v>
      </c>
      <c r="F21" s="147">
        <v>8</v>
      </c>
      <c r="G21" s="147">
        <v>20</v>
      </c>
      <c r="H21" s="147">
        <v>20</v>
      </c>
      <c r="I21" s="148">
        <v>12</v>
      </c>
      <c r="J21" s="147">
        <v>10</v>
      </c>
      <c r="K21" s="147">
        <v>3</v>
      </c>
      <c r="L21" s="147">
        <v>15</v>
      </c>
      <c r="M21" s="147">
        <v>4</v>
      </c>
      <c r="O21" s="253" t="s">
        <v>70</v>
      </c>
      <c r="P21" s="254">
        <v>41</v>
      </c>
      <c r="Q21" s="255">
        <v>4</v>
      </c>
      <c r="R21" s="255">
        <v>2</v>
      </c>
      <c r="S21" s="256">
        <v>17</v>
      </c>
      <c r="T21" s="254">
        <v>15</v>
      </c>
      <c r="U21" s="256">
        <v>6</v>
      </c>
      <c r="V21" s="254">
        <v>4</v>
      </c>
      <c r="W21" s="257">
        <v>19</v>
      </c>
      <c r="X21" s="32">
        <v>9</v>
      </c>
      <c r="Y21" s="32">
        <v>24</v>
      </c>
      <c r="Z21" s="32">
        <v>1</v>
      </c>
    </row>
    <row r="22" spans="2:26" ht="35.1" customHeight="1" thickBot="1">
      <c r="B22" s="146" t="s">
        <v>72</v>
      </c>
      <c r="C22" s="147">
        <v>1</v>
      </c>
      <c r="D22" s="147">
        <v>2</v>
      </c>
      <c r="E22" s="147">
        <v>3</v>
      </c>
      <c r="F22" s="147">
        <v>1</v>
      </c>
      <c r="G22" s="147">
        <v>3</v>
      </c>
      <c r="H22" s="147">
        <v>7</v>
      </c>
      <c r="I22" s="148">
        <v>1</v>
      </c>
      <c r="J22" s="147">
        <v>1</v>
      </c>
      <c r="K22" s="147">
        <v>2</v>
      </c>
      <c r="L22" s="147">
        <v>6</v>
      </c>
      <c r="M22" s="147">
        <v>4</v>
      </c>
      <c r="O22" s="253" t="s">
        <v>72</v>
      </c>
      <c r="P22" s="254">
        <v>1</v>
      </c>
      <c r="Q22" s="259">
        <v>4</v>
      </c>
      <c r="R22" s="260">
        <v>2</v>
      </c>
      <c r="S22" s="256">
        <v>2</v>
      </c>
      <c r="T22" s="254">
        <v>3</v>
      </c>
      <c r="U22" s="256">
        <v>4</v>
      </c>
      <c r="V22" s="254">
        <v>4</v>
      </c>
      <c r="W22" s="257">
        <v>4</v>
      </c>
      <c r="X22" s="32">
        <v>1</v>
      </c>
      <c r="Y22" s="32">
        <v>1</v>
      </c>
      <c r="Z22" s="32">
        <v>1</v>
      </c>
    </row>
    <row r="23" spans="2:26" ht="35.1" customHeight="1" thickBot="1">
      <c r="B23" s="146" t="s">
        <v>74</v>
      </c>
      <c r="C23" s="147">
        <v>1</v>
      </c>
      <c r="D23" s="147">
        <v>9</v>
      </c>
      <c r="E23" s="147">
        <v>9</v>
      </c>
      <c r="F23" s="147">
        <v>6</v>
      </c>
      <c r="G23" s="147">
        <v>9</v>
      </c>
      <c r="H23" s="147">
        <v>3</v>
      </c>
      <c r="I23" s="148">
        <v>18</v>
      </c>
      <c r="J23" s="147">
        <v>1</v>
      </c>
      <c r="K23" s="147">
        <v>1</v>
      </c>
      <c r="L23" s="147">
        <v>4</v>
      </c>
      <c r="M23" s="147">
        <v>4</v>
      </c>
      <c r="O23" s="253" t="s">
        <v>74</v>
      </c>
      <c r="P23" s="254">
        <v>23</v>
      </c>
      <c r="Q23" s="255">
        <v>4</v>
      </c>
      <c r="R23" s="255">
        <v>20</v>
      </c>
      <c r="S23" s="256">
        <v>17</v>
      </c>
      <c r="T23" s="254">
        <v>8</v>
      </c>
      <c r="U23" s="256">
        <v>22</v>
      </c>
      <c r="V23" s="254">
        <v>4</v>
      </c>
      <c r="W23" s="257">
        <v>10</v>
      </c>
      <c r="X23" s="32">
        <v>7</v>
      </c>
      <c r="Y23" s="32">
        <v>7</v>
      </c>
      <c r="Z23" s="32">
        <v>1</v>
      </c>
    </row>
    <row r="24" spans="2:26" ht="35.1" customHeight="1" thickBot="1">
      <c r="B24" s="146" t="s">
        <v>76</v>
      </c>
      <c r="C24" s="147">
        <v>1</v>
      </c>
      <c r="D24" s="147">
        <v>1</v>
      </c>
      <c r="E24" s="147">
        <v>1</v>
      </c>
      <c r="F24" s="147">
        <v>5</v>
      </c>
      <c r="G24" s="147">
        <v>1</v>
      </c>
      <c r="H24" s="147">
        <v>1</v>
      </c>
      <c r="I24" s="148">
        <v>2</v>
      </c>
      <c r="J24" s="147">
        <v>5</v>
      </c>
      <c r="K24" s="147">
        <v>4</v>
      </c>
      <c r="L24" s="147">
        <v>10</v>
      </c>
      <c r="M24" s="147">
        <v>4</v>
      </c>
      <c r="O24" s="253" t="s">
        <v>76</v>
      </c>
      <c r="P24" s="254">
        <v>1</v>
      </c>
      <c r="Q24" s="255">
        <v>4</v>
      </c>
      <c r="R24" s="255">
        <v>2</v>
      </c>
      <c r="S24" s="256">
        <v>1</v>
      </c>
      <c r="T24" s="254">
        <v>1</v>
      </c>
      <c r="U24" s="256">
        <v>2</v>
      </c>
      <c r="V24" s="254">
        <v>4</v>
      </c>
      <c r="W24" s="257">
        <v>1</v>
      </c>
      <c r="X24" s="32">
        <v>4</v>
      </c>
      <c r="Y24" s="32">
        <v>2</v>
      </c>
      <c r="Z24" s="32">
        <v>1</v>
      </c>
    </row>
    <row r="25" spans="2:26" ht="35.1" customHeight="1" thickBot="1">
      <c r="B25" s="146" t="s">
        <v>120</v>
      </c>
      <c r="C25" s="147">
        <v>8</v>
      </c>
      <c r="D25" s="147">
        <v>1</v>
      </c>
      <c r="E25" s="147">
        <v>1</v>
      </c>
      <c r="F25" s="147">
        <v>1</v>
      </c>
      <c r="G25" s="147">
        <v>1</v>
      </c>
      <c r="H25" s="147">
        <v>1</v>
      </c>
      <c r="I25" s="148">
        <v>1</v>
      </c>
      <c r="J25" s="147">
        <v>1</v>
      </c>
      <c r="K25" s="147">
        <v>1</v>
      </c>
      <c r="L25" s="147">
        <v>1</v>
      </c>
      <c r="M25" s="147">
        <v>2</v>
      </c>
      <c r="O25" s="258" t="s">
        <v>120</v>
      </c>
      <c r="P25" s="254">
        <v>1</v>
      </c>
      <c r="Q25" s="255">
        <v>4</v>
      </c>
      <c r="R25" s="255">
        <v>2</v>
      </c>
      <c r="S25" s="256">
        <v>1</v>
      </c>
      <c r="T25" s="254">
        <v>1</v>
      </c>
      <c r="U25" s="256">
        <v>1</v>
      </c>
      <c r="V25" s="254">
        <v>4</v>
      </c>
      <c r="W25" s="257">
        <v>1</v>
      </c>
      <c r="X25" s="32">
        <v>1</v>
      </c>
      <c r="Y25" s="32">
        <v>1</v>
      </c>
      <c r="Z25" s="32">
        <v>1</v>
      </c>
    </row>
    <row r="26" spans="2:26" ht="35.1" customHeight="1" thickBot="1">
      <c r="B26" s="146" t="s">
        <v>79</v>
      </c>
      <c r="C26" s="147">
        <v>1</v>
      </c>
      <c r="D26" s="147">
        <v>5</v>
      </c>
      <c r="E26" s="147">
        <v>1</v>
      </c>
      <c r="F26" s="147">
        <v>1</v>
      </c>
      <c r="G26" s="147">
        <v>1</v>
      </c>
      <c r="H26" s="147">
        <v>1</v>
      </c>
      <c r="I26" s="148">
        <v>1</v>
      </c>
      <c r="J26" s="147">
        <v>1</v>
      </c>
      <c r="K26" s="147">
        <v>7</v>
      </c>
      <c r="L26" s="147">
        <v>2</v>
      </c>
      <c r="M26" s="147">
        <v>4</v>
      </c>
      <c r="O26" s="253" t="s">
        <v>79</v>
      </c>
      <c r="P26" s="254">
        <v>1</v>
      </c>
      <c r="Q26" s="255">
        <v>4</v>
      </c>
      <c r="R26" s="255">
        <v>2</v>
      </c>
      <c r="S26" s="256">
        <v>1</v>
      </c>
      <c r="T26" s="254">
        <v>1</v>
      </c>
      <c r="U26" s="256">
        <v>2</v>
      </c>
      <c r="V26" s="254">
        <v>4</v>
      </c>
      <c r="W26" s="257">
        <v>1</v>
      </c>
      <c r="X26" s="32">
        <v>3</v>
      </c>
      <c r="Y26" s="32">
        <v>1</v>
      </c>
      <c r="Z26" s="32">
        <v>1</v>
      </c>
    </row>
    <row r="27" spans="2:26" ht="35.1" customHeight="1" thickBot="1">
      <c r="B27" s="146" t="s">
        <v>80</v>
      </c>
      <c r="C27" s="147">
        <v>1</v>
      </c>
      <c r="D27" s="147">
        <v>3</v>
      </c>
      <c r="E27" s="147">
        <v>1</v>
      </c>
      <c r="F27" s="147">
        <v>1</v>
      </c>
      <c r="G27" s="147">
        <v>1</v>
      </c>
      <c r="H27" s="147">
        <v>1</v>
      </c>
      <c r="I27" s="148">
        <v>1</v>
      </c>
      <c r="J27" s="147">
        <v>1</v>
      </c>
      <c r="K27" s="147">
        <v>1</v>
      </c>
      <c r="L27" s="147">
        <v>1</v>
      </c>
      <c r="M27" s="147">
        <v>2</v>
      </c>
      <c r="O27" s="253" t="s">
        <v>80</v>
      </c>
      <c r="P27" s="254">
        <v>1</v>
      </c>
      <c r="Q27" s="255">
        <v>4</v>
      </c>
      <c r="R27" s="255">
        <v>2</v>
      </c>
      <c r="S27" s="256">
        <v>1</v>
      </c>
      <c r="T27" s="254">
        <v>1</v>
      </c>
      <c r="U27" s="256">
        <v>1</v>
      </c>
      <c r="V27" s="254">
        <v>4</v>
      </c>
      <c r="W27" s="257">
        <v>1</v>
      </c>
      <c r="X27" s="32">
        <v>1</v>
      </c>
      <c r="Y27" s="32">
        <v>1</v>
      </c>
      <c r="Z27" s="32">
        <v>1</v>
      </c>
    </row>
    <row r="28" spans="2:26" ht="35.1" customHeight="1" thickBot="1">
      <c r="B28" s="279" t="s">
        <v>82</v>
      </c>
      <c r="C28" s="280">
        <v>8</v>
      </c>
      <c r="D28" s="280">
        <v>1</v>
      </c>
      <c r="E28" s="280">
        <v>3</v>
      </c>
      <c r="F28" s="280">
        <v>14</v>
      </c>
      <c r="G28" s="280">
        <v>2</v>
      </c>
      <c r="H28" s="280">
        <v>13</v>
      </c>
      <c r="I28" s="281">
        <v>1</v>
      </c>
      <c r="J28" s="280">
        <v>2</v>
      </c>
      <c r="K28" s="280">
        <v>7</v>
      </c>
      <c r="L28" s="280">
        <v>1</v>
      </c>
      <c r="M28" s="280">
        <v>4</v>
      </c>
      <c r="O28" s="253" t="s">
        <v>82</v>
      </c>
      <c r="P28" s="254">
        <v>1</v>
      </c>
      <c r="Q28" s="255">
        <v>4</v>
      </c>
      <c r="R28" s="255">
        <v>2</v>
      </c>
      <c r="S28" s="256">
        <v>1</v>
      </c>
      <c r="T28" s="254">
        <v>1</v>
      </c>
      <c r="U28" s="256">
        <v>3</v>
      </c>
      <c r="V28" s="254">
        <v>4</v>
      </c>
      <c r="W28" s="257">
        <v>1</v>
      </c>
      <c r="X28" s="32">
        <v>6</v>
      </c>
      <c r="Y28" s="32">
        <v>1</v>
      </c>
      <c r="Z28" s="32">
        <v>1</v>
      </c>
    </row>
    <row r="29" spans="2:26" ht="24" thickBot="1">
      <c r="B29" s="282" t="s">
        <v>197</v>
      </c>
      <c r="C29" s="283">
        <f>SUM(C8:C28)</f>
        <v>78</v>
      </c>
      <c r="D29" s="283">
        <f t="shared" ref="D29:M29" si="0">SUM(D8:D28)</f>
        <v>78</v>
      </c>
      <c r="E29" s="283">
        <f t="shared" si="0"/>
        <v>76</v>
      </c>
      <c r="F29" s="283">
        <f t="shared" si="0"/>
        <v>69</v>
      </c>
      <c r="G29" s="283">
        <f t="shared" si="0"/>
        <v>76</v>
      </c>
      <c r="H29" s="283">
        <f t="shared" si="0"/>
        <v>75</v>
      </c>
      <c r="I29" s="283">
        <f t="shared" si="0"/>
        <v>75</v>
      </c>
      <c r="J29" s="283">
        <f t="shared" si="0"/>
        <v>77</v>
      </c>
      <c r="K29" s="283">
        <f t="shared" si="0"/>
        <v>74</v>
      </c>
      <c r="L29" s="283">
        <f t="shared" si="0"/>
        <v>78</v>
      </c>
      <c r="M29" s="284">
        <f t="shared" si="0"/>
        <v>76</v>
      </c>
    </row>
  </sheetData>
  <mergeCells count="5">
    <mergeCell ref="B1:M1"/>
    <mergeCell ref="B2:M2"/>
    <mergeCell ref="B3:M3"/>
    <mergeCell ref="B4:M4"/>
    <mergeCell ref="B6:M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 scaleWithDoc="0" alignWithMargins="0">
    <oddFooter>&amp;R&amp;"Verdana,Normale"&amp;8MINISTERO DELLA SALUTE Direzione Generale per l'Igiene e la Sicurezza&amp;"Arial,Normale"&amp;12 &amp;"Verdana,Normale"&amp;8degli Alimenti e la Nutrizione72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29"/>
  <sheetViews>
    <sheetView view="pageBreakPreview" zoomScale="60" workbookViewId="0">
      <selection activeCell="K22" sqref="K22"/>
    </sheetView>
  </sheetViews>
  <sheetFormatPr defaultColWidth="9.140625" defaultRowHeight="12.75"/>
  <cols>
    <col min="1" max="1" width="9.140625" style="32"/>
    <col min="2" max="5" width="10.7109375" style="32" customWidth="1"/>
    <col min="6" max="6" width="27.7109375" style="32" customWidth="1"/>
    <col min="7" max="8" width="50.7109375" style="32" customWidth="1"/>
    <col min="9" max="12" width="10.7109375" style="32" customWidth="1"/>
    <col min="13" max="16384" width="9.140625" style="32"/>
  </cols>
  <sheetData>
    <row r="1" spans="2:24" ht="33.75">
      <c r="B1" s="360" t="s">
        <v>183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2:24" ht="52.5" customHeight="1">
      <c r="B2" s="361" t="s">
        <v>198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2:24" ht="33.75">
      <c r="B3" s="360" t="s">
        <v>132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2:24" ht="27" customHeight="1"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</row>
    <row r="5" spans="2:24" ht="41.25" customHeight="1" thickBot="1">
      <c r="B5" s="364" t="s">
        <v>126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2:24" ht="91.5" customHeight="1" thickBot="1">
      <c r="F6" s="134" t="s">
        <v>118</v>
      </c>
      <c r="G6" s="149" t="s">
        <v>199</v>
      </c>
      <c r="H6" s="150" t="s">
        <v>200</v>
      </c>
      <c r="P6" s="331" t="s">
        <v>117</v>
      </c>
      <c r="Q6" s="331"/>
      <c r="R6" s="331"/>
      <c r="S6" s="331"/>
      <c r="T6" s="331"/>
      <c r="U6" s="331"/>
      <c r="V6" s="331"/>
      <c r="W6" s="331"/>
      <c r="X6" s="331"/>
    </row>
    <row r="7" spans="2:24" ht="39.950000000000003" customHeight="1" thickBot="1">
      <c r="F7" s="146" t="s">
        <v>69</v>
      </c>
      <c r="G7" s="285">
        <v>4</v>
      </c>
      <c r="H7" s="285">
        <v>4</v>
      </c>
      <c r="P7" s="363"/>
      <c r="Q7" s="363"/>
      <c r="R7" s="363"/>
      <c r="S7" s="363"/>
      <c r="T7" s="363"/>
      <c r="U7" s="363"/>
      <c r="V7" s="363"/>
      <c r="W7" s="363"/>
      <c r="X7" s="363"/>
    </row>
    <row r="8" spans="2:24" ht="39.950000000000003" customHeight="1" thickBot="1">
      <c r="F8" s="146" t="s">
        <v>165</v>
      </c>
      <c r="G8" s="285">
        <v>2</v>
      </c>
      <c r="H8" s="285">
        <v>2</v>
      </c>
      <c r="O8" s="250" t="s">
        <v>118</v>
      </c>
      <c r="P8" s="261" t="s">
        <v>163</v>
      </c>
      <c r="Q8" s="261" t="s">
        <v>164</v>
      </c>
    </row>
    <row r="9" spans="2:24" ht="39.950000000000003" customHeight="1" thickBot="1">
      <c r="F9" s="146" t="s">
        <v>62</v>
      </c>
      <c r="G9" s="285">
        <v>4</v>
      </c>
      <c r="H9" s="285">
        <v>4</v>
      </c>
      <c r="O9" s="260" t="s">
        <v>69</v>
      </c>
      <c r="P9" s="262">
        <v>4</v>
      </c>
      <c r="Q9" s="262">
        <v>4</v>
      </c>
    </row>
    <row r="10" spans="2:24" ht="39.950000000000003" customHeight="1" thickBot="1">
      <c r="F10" s="146" t="s">
        <v>57</v>
      </c>
      <c r="G10" s="285">
        <v>4</v>
      </c>
      <c r="H10" s="285">
        <v>4</v>
      </c>
      <c r="O10" s="260" t="s">
        <v>165</v>
      </c>
      <c r="P10" s="262">
        <v>2</v>
      </c>
      <c r="Q10" s="262">
        <v>2</v>
      </c>
    </row>
    <row r="11" spans="2:24" ht="39.950000000000003" customHeight="1" thickBot="1">
      <c r="F11" s="146" t="s">
        <v>166</v>
      </c>
      <c r="G11" s="285">
        <v>2</v>
      </c>
      <c r="H11" s="285">
        <v>2</v>
      </c>
      <c r="O11" s="260" t="s">
        <v>62</v>
      </c>
      <c r="P11" s="262">
        <v>4</v>
      </c>
      <c r="Q11" s="262">
        <v>4</v>
      </c>
    </row>
    <row r="12" spans="2:24" ht="39.950000000000003" customHeight="1" thickBot="1">
      <c r="F12" s="146" t="s">
        <v>167</v>
      </c>
      <c r="G12" s="285">
        <v>2</v>
      </c>
      <c r="H12" s="285">
        <v>2</v>
      </c>
      <c r="O12" s="260" t="s">
        <v>57</v>
      </c>
      <c r="P12" s="262">
        <v>4</v>
      </c>
      <c r="Q12" s="262">
        <v>4</v>
      </c>
    </row>
    <row r="13" spans="2:24" ht="39.950000000000003" customHeight="1" thickBot="1">
      <c r="F13" s="146" t="s">
        <v>82</v>
      </c>
      <c r="G13" s="285">
        <v>4</v>
      </c>
      <c r="H13" s="285">
        <v>4</v>
      </c>
      <c r="O13" s="260" t="s">
        <v>166</v>
      </c>
      <c r="P13" s="262">
        <v>2</v>
      </c>
      <c r="Q13" s="262">
        <v>2</v>
      </c>
    </row>
    <row r="14" spans="2:24" ht="39.950000000000003" customHeight="1" thickBot="1">
      <c r="F14" s="146" t="s">
        <v>121</v>
      </c>
      <c r="G14" s="285">
        <v>4</v>
      </c>
      <c r="H14" s="285">
        <v>4</v>
      </c>
      <c r="O14" s="260" t="s">
        <v>167</v>
      </c>
      <c r="P14" s="262">
        <v>2</v>
      </c>
      <c r="Q14" s="262">
        <v>2</v>
      </c>
    </row>
    <row r="15" spans="2:24" ht="39.950000000000003" customHeight="1" thickBot="1">
      <c r="F15" s="146" t="s">
        <v>122</v>
      </c>
      <c r="G15" s="285">
        <v>4</v>
      </c>
      <c r="H15" s="285">
        <v>4</v>
      </c>
      <c r="O15" s="260" t="s">
        <v>82</v>
      </c>
      <c r="P15" s="262">
        <v>4</v>
      </c>
      <c r="Q15" s="262">
        <v>4</v>
      </c>
    </row>
    <row r="16" spans="2:24" ht="39.950000000000003" customHeight="1" thickBot="1">
      <c r="F16" s="146" t="s">
        <v>76</v>
      </c>
      <c r="G16" s="285">
        <v>4</v>
      </c>
      <c r="H16" s="285">
        <v>4</v>
      </c>
      <c r="O16" s="260" t="s">
        <v>121</v>
      </c>
      <c r="P16" s="262">
        <v>4</v>
      </c>
      <c r="Q16" s="262">
        <v>4</v>
      </c>
    </row>
    <row r="17" spans="6:17" ht="39.950000000000003" customHeight="1" thickBot="1">
      <c r="F17" s="146" t="s">
        <v>79</v>
      </c>
      <c r="G17" s="285">
        <v>4</v>
      </c>
      <c r="H17" s="285">
        <v>4</v>
      </c>
      <c r="O17" s="260" t="s">
        <v>122</v>
      </c>
      <c r="P17" s="262">
        <v>4</v>
      </c>
      <c r="Q17" s="262">
        <v>4</v>
      </c>
    </row>
    <row r="18" spans="6:17" ht="39.950000000000003" customHeight="1" thickBot="1">
      <c r="F18" s="146" t="s">
        <v>65</v>
      </c>
      <c r="G18" s="285">
        <v>4</v>
      </c>
      <c r="H18" s="285">
        <v>4</v>
      </c>
      <c r="O18" s="260" t="s">
        <v>76</v>
      </c>
      <c r="P18" s="262">
        <v>4</v>
      </c>
      <c r="Q18" s="262">
        <v>4</v>
      </c>
    </row>
    <row r="19" spans="6:17" ht="39.950000000000003" customHeight="1" thickBot="1">
      <c r="F19" s="146" t="s">
        <v>54</v>
      </c>
      <c r="G19" s="285">
        <v>4</v>
      </c>
      <c r="H19" s="285">
        <v>4</v>
      </c>
      <c r="O19" s="260" t="s">
        <v>79</v>
      </c>
      <c r="P19" s="262">
        <v>4</v>
      </c>
      <c r="Q19" s="262">
        <v>4</v>
      </c>
    </row>
    <row r="20" spans="6:17" ht="39.950000000000003" customHeight="1" thickBot="1">
      <c r="F20" s="146" t="s">
        <v>123</v>
      </c>
      <c r="G20" s="285">
        <v>4</v>
      </c>
      <c r="H20" s="285">
        <v>4</v>
      </c>
      <c r="O20" s="260" t="s">
        <v>65</v>
      </c>
      <c r="P20" s="262">
        <v>4</v>
      </c>
      <c r="Q20" s="262">
        <v>4</v>
      </c>
    </row>
    <row r="21" spans="6:17" ht="39.950000000000003" customHeight="1" thickBot="1">
      <c r="F21" s="146" t="s">
        <v>168</v>
      </c>
      <c r="G21" s="285">
        <v>2</v>
      </c>
      <c r="H21" s="285">
        <v>2</v>
      </c>
      <c r="O21" s="260" t="s">
        <v>54</v>
      </c>
      <c r="P21" s="262">
        <v>4</v>
      </c>
      <c r="Q21" s="262">
        <v>4</v>
      </c>
    </row>
    <row r="22" spans="6:17" ht="39.950000000000003" customHeight="1" thickBot="1">
      <c r="F22" s="146" t="s">
        <v>46</v>
      </c>
      <c r="G22" s="285">
        <v>4</v>
      </c>
      <c r="H22" s="285">
        <v>4</v>
      </c>
      <c r="O22" s="260" t="s">
        <v>123</v>
      </c>
      <c r="P22" s="262">
        <v>4</v>
      </c>
      <c r="Q22" s="262">
        <v>4</v>
      </c>
    </row>
    <row r="23" spans="6:17" ht="39.950000000000003" customHeight="1" thickBot="1">
      <c r="F23" s="146" t="s">
        <v>70</v>
      </c>
      <c r="G23" s="285">
        <v>4</v>
      </c>
      <c r="H23" s="285">
        <v>4</v>
      </c>
      <c r="O23" s="260" t="s">
        <v>168</v>
      </c>
      <c r="P23" s="262">
        <v>2</v>
      </c>
      <c r="Q23" s="262">
        <v>2</v>
      </c>
    </row>
    <row r="24" spans="6:17" ht="39.950000000000003" customHeight="1" thickBot="1">
      <c r="F24" s="146" t="s">
        <v>38</v>
      </c>
      <c r="G24" s="285">
        <v>4</v>
      </c>
      <c r="H24" s="285">
        <v>4</v>
      </c>
      <c r="O24" s="260" t="s">
        <v>46</v>
      </c>
      <c r="P24" s="262">
        <v>4</v>
      </c>
      <c r="Q24" s="262">
        <v>4</v>
      </c>
    </row>
    <row r="25" spans="6:17" ht="39.950000000000003" customHeight="1" thickBot="1">
      <c r="F25" s="146" t="s">
        <v>44</v>
      </c>
      <c r="G25" s="285">
        <v>4</v>
      </c>
      <c r="H25" s="285">
        <v>4</v>
      </c>
      <c r="O25" s="260" t="s">
        <v>70</v>
      </c>
      <c r="P25" s="262">
        <v>4</v>
      </c>
      <c r="Q25" s="262">
        <v>4</v>
      </c>
    </row>
    <row r="26" spans="6:17" ht="39.950000000000003" customHeight="1" thickBot="1">
      <c r="F26" s="146" t="s">
        <v>74</v>
      </c>
      <c r="G26" s="285">
        <v>4</v>
      </c>
      <c r="H26" s="285">
        <v>4</v>
      </c>
      <c r="O26" s="260" t="s">
        <v>38</v>
      </c>
      <c r="P26" s="262">
        <v>4</v>
      </c>
      <c r="Q26" s="262">
        <v>4</v>
      </c>
    </row>
    <row r="27" spans="6:17" ht="39.950000000000003" customHeight="1" thickBot="1">
      <c r="F27" s="279" t="s">
        <v>72</v>
      </c>
      <c r="G27" s="286">
        <v>4</v>
      </c>
      <c r="H27" s="286">
        <v>4</v>
      </c>
      <c r="O27" s="260" t="s">
        <v>44</v>
      </c>
      <c r="P27" s="262">
        <v>4</v>
      </c>
      <c r="Q27" s="262">
        <v>4</v>
      </c>
    </row>
    <row r="28" spans="6:17" ht="21" thickBot="1">
      <c r="F28" s="287" t="s">
        <v>197</v>
      </c>
      <c r="G28" s="288">
        <f>SUM(G7:G27)</f>
        <v>76</v>
      </c>
      <c r="H28" s="289">
        <f>SUM(H7:H27)</f>
        <v>76</v>
      </c>
      <c r="O28" s="260" t="s">
        <v>74</v>
      </c>
      <c r="P28" s="262">
        <v>4</v>
      </c>
      <c r="Q28" s="262">
        <v>4</v>
      </c>
    </row>
    <row r="29" spans="6:17" ht="13.5" thickBot="1">
      <c r="O29" s="260" t="s">
        <v>72</v>
      </c>
      <c r="P29" s="262">
        <v>4</v>
      </c>
      <c r="Q29" s="262">
        <v>4</v>
      </c>
    </row>
  </sheetData>
  <mergeCells count="7">
    <mergeCell ref="P7:X7"/>
    <mergeCell ref="B1:L1"/>
    <mergeCell ref="B2:L2"/>
    <mergeCell ref="B3:L3"/>
    <mergeCell ref="B4:L4"/>
    <mergeCell ref="B5:L5"/>
    <mergeCell ref="P6:X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 scaleWithDoc="0" alignWithMargins="0">
    <oddFooter>&amp;R&amp;8MINISTERO DELLA SALUTE Direzione Generale per l'Igiene e la Sicurezza degli Alimenti e la Nutrizione73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V87"/>
  <sheetViews>
    <sheetView topLeftCell="A4" zoomScale="55" zoomScaleNormal="55" zoomScaleSheetLayoutView="70" workbookViewId="0">
      <selection activeCell="C13" sqref="C13"/>
    </sheetView>
  </sheetViews>
  <sheetFormatPr defaultColWidth="9.140625" defaultRowHeight="12.75"/>
  <cols>
    <col min="1" max="1" width="12.7109375" style="32" customWidth="1"/>
    <col min="2" max="2" width="37" style="32" customWidth="1"/>
    <col min="3" max="3" width="14.85546875" style="32" customWidth="1"/>
    <col min="4" max="4" width="18" style="32" customWidth="1"/>
    <col min="5" max="5" width="21" style="32" customWidth="1"/>
    <col min="6" max="6" width="23.42578125" style="32" customWidth="1"/>
    <col min="7" max="7" width="20.28515625" style="32" customWidth="1"/>
    <col min="8" max="8" width="20.7109375" style="32" customWidth="1"/>
    <col min="9" max="9" width="18.140625" style="32" customWidth="1"/>
    <col min="10" max="10" width="12.7109375" style="32" customWidth="1"/>
    <col min="11" max="14" width="9.140625" style="32"/>
    <col min="15" max="15" width="31.28515625" style="32" customWidth="1"/>
    <col min="16" max="16" width="19" style="32" customWidth="1"/>
    <col min="17" max="20" width="23.28515625" style="32" customWidth="1"/>
    <col min="21" max="21" width="21.7109375" style="32" customWidth="1"/>
    <col min="22" max="16384" width="9.140625" style="32"/>
  </cols>
  <sheetData>
    <row r="1" spans="2:22" ht="30.75" customHeight="1">
      <c r="B1" s="366" t="s">
        <v>130</v>
      </c>
      <c r="C1" s="366"/>
      <c r="D1" s="366"/>
      <c r="E1" s="366"/>
      <c r="F1" s="366"/>
      <c r="G1" s="366"/>
      <c r="H1" s="366"/>
      <c r="I1" s="366"/>
      <c r="J1" s="92"/>
    </row>
    <row r="2" spans="2:22" ht="26.25">
      <c r="B2" s="366" t="s">
        <v>132</v>
      </c>
      <c r="C2" s="366"/>
      <c r="D2" s="366"/>
      <c r="E2" s="366"/>
      <c r="F2" s="366"/>
      <c r="G2" s="366"/>
      <c r="H2" s="366"/>
      <c r="I2" s="366"/>
    </row>
    <row r="3" spans="2:22" ht="26.25">
      <c r="B3" s="366" t="s">
        <v>201</v>
      </c>
      <c r="C3" s="366"/>
      <c r="D3" s="366"/>
      <c r="E3" s="366"/>
      <c r="F3" s="366"/>
      <c r="G3" s="366"/>
      <c r="H3" s="366"/>
      <c r="I3" s="366"/>
    </row>
    <row r="4" spans="2:22" ht="26.25">
      <c r="B4" s="37"/>
      <c r="C4" s="37"/>
      <c r="D4" s="37"/>
      <c r="E4" s="37"/>
      <c r="F4" s="37"/>
      <c r="G4" s="37"/>
      <c r="H4" s="37"/>
      <c r="I4" s="37"/>
    </row>
    <row r="5" spans="2:22" ht="22.5">
      <c r="B5" s="367" t="s">
        <v>125</v>
      </c>
      <c r="C5" s="367"/>
      <c r="D5" s="367"/>
      <c r="E5" s="367"/>
      <c r="F5" s="367"/>
      <c r="G5" s="367"/>
      <c r="H5" s="367"/>
      <c r="I5" s="367"/>
    </row>
    <row r="6" spans="2:22" ht="21" customHeight="1" thickBot="1">
      <c r="C6" s="93"/>
      <c r="D6" s="93"/>
      <c r="E6" s="93"/>
      <c r="F6" s="93"/>
      <c r="G6" s="93"/>
      <c r="H6" s="93"/>
      <c r="I6" s="93"/>
    </row>
    <row r="7" spans="2:22" ht="21" customHeight="1" thickTop="1" thickBot="1">
      <c r="B7" s="368" t="s">
        <v>0</v>
      </c>
      <c r="C7" s="369" t="s">
        <v>1</v>
      </c>
      <c r="D7" s="370" t="s">
        <v>2</v>
      </c>
      <c r="E7" s="370"/>
      <c r="F7" s="370"/>
      <c r="G7" s="370"/>
      <c r="H7" s="371" t="s">
        <v>3</v>
      </c>
      <c r="I7" s="372" t="s">
        <v>4</v>
      </c>
    </row>
    <row r="8" spans="2:22" ht="100.5" customHeight="1" thickTop="1" thickBot="1">
      <c r="B8" s="368"/>
      <c r="C8" s="369"/>
      <c r="D8" s="94" t="s">
        <v>5</v>
      </c>
      <c r="E8" s="95" t="s">
        <v>6</v>
      </c>
      <c r="F8" s="96" t="s">
        <v>7</v>
      </c>
      <c r="G8" s="97" t="s">
        <v>8</v>
      </c>
      <c r="H8" s="371"/>
      <c r="I8" s="372"/>
      <c r="J8" s="98"/>
      <c r="M8" s="99"/>
      <c r="N8" s="99"/>
      <c r="O8" s="293" t="s">
        <v>17</v>
      </c>
      <c r="P8" s="300" t="s">
        <v>135</v>
      </c>
      <c r="Q8" s="294" t="s">
        <v>19</v>
      </c>
      <c r="R8" s="310"/>
      <c r="S8" s="290" t="s">
        <v>20</v>
      </c>
      <c r="T8" s="313"/>
      <c r="U8" s="290" t="s">
        <v>21</v>
      </c>
      <c r="V8" s="313"/>
    </row>
    <row r="9" spans="2:22" ht="27.75" customHeight="1" thickTop="1" thickBot="1">
      <c r="B9" s="100" t="s">
        <v>9</v>
      </c>
      <c r="C9" s="101">
        <f>D9+F9+H9</f>
        <v>3337</v>
      </c>
      <c r="D9" s="102">
        <v>1237</v>
      </c>
      <c r="E9" s="103">
        <f>D9/C9*100</f>
        <v>37.06922385376086</v>
      </c>
      <c r="F9" s="102">
        <v>2037</v>
      </c>
      <c r="G9" s="103">
        <f>F9/C9*100</f>
        <v>61.042852861851962</v>
      </c>
      <c r="H9" s="102">
        <v>63</v>
      </c>
      <c r="I9" s="104">
        <f>H9/C9*100</f>
        <v>1.8879232843871743</v>
      </c>
      <c r="J9" s="105"/>
      <c r="K9" s="106"/>
      <c r="L9" s="107"/>
      <c r="M9" s="99"/>
      <c r="N9" s="99"/>
      <c r="O9" s="295" t="s">
        <v>23</v>
      </c>
      <c r="P9" s="301">
        <f t="shared" ref="P9" si="0">SUM(S9+Q9+U9)</f>
        <v>3337</v>
      </c>
      <c r="Q9" s="296">
        <v>1237</v>
      </c>
      <c r="R9" s="311">
        <f t="shared" ref="R9" si="1">Q9/P9*100</f>
        <v>37.06922385376086</v>
      </c>
      <c r="S9" s="292">
        <v>2037</v>
      </c>
      <c r="T9" s="314">
        <f t="shared" ref="T9" si="2">S9/P9*100</f>
        <v>61.042852861851962</v>
      </c>
      <c r="U9" s="292">
        <v>63</v>
      </c>
      <c r="V9" s="314">
        <f t="shared" ref="V9" si="3">U9/P9*100</f>
        <v>1.8879232843871743</v>
      </c>
    </row>
    <row r="10" spans="2:22" ht="27.75" customHeight="1" thickBot="1">
      <c r="B10" s="110" t="s">
        <v>177</v>
      </c>
      <c r="C10" s="101">
        <f t="shared" ref="C10:C15" si="4">D10+F10+H10</f>
        <v>3195</v>
      </c>
      <c r="D10" s="111">
        <v>1916</v>
      </c>
      <c r="E10" s="103">
        <f t="shared" ref="E10:E15" si="5">D10/C10*100</f>
        <v>59.968701095461661</v>
      </c>
      <c r="F10" s="111">
        <v>1223</v>
      </c>
      <c r="G10" s="103">
        <f t="shared" ref="G10:G16" si="6">F10/C10*100</f>
        <v>38.278560250391237</v>
      </c>
      <c r="H10" s="111">
        <v>56</v>
      </c>
      <c r="I10" s="104">
        <f t="shared" ref="I10:I15" si="7">H10/C10*100</f>
        <v>1.7527386541471048</v>
      </c>
      <c r="J10" s="105"/>
      <c r="K10" s="106"/>
      <c r="L10" s="107"/>
      <c r="M10" s="112"/>
      <c r="N10" s="113"/>
      <c r="O10" s="295" t="s">
        <v>26</v>
      </c>
      <c r="P10" s="301">
        <f>SUM(S10+Q10+U10)</f>
        <v>3195</v>
      </c>
      <c r="Q10" s="296">
        <v>1916</v>
      </c>
      <c r="R10" s="311">
        <f>Q10/P10*100</f>
        <v>59.968701095461661</v>
      </c>
      <c r="S10" s="292">
        <v>1223</v>
      </c>
      <c r="T10" s="314">
        <f>S10/P10*100</f>
        <v>38.278560250391237</v>
      </c>
      <c r="U10" s="292">
        <v>56</v>
      </c>
      <c r="V10" s="314">
        <f>U10/P10*100</f>
        <v>1.7527386541471048</v>
      </c>
    </row>
    <row r="11" spans="2:22" ht="27.75" customHeight="1" thickBot="1">
      <c r="B11" s="114" t="s">
        <v>11</v>
      </c>
      <c r="C11" s="101">
        <f t="shared" si="4"/>
        <v>1839</v>
      </c>
      <c r="D11" s="111">
        <v>1489</v>
      </c>
      <c r="E11" s="103">
        <f t="shared" si="5"/>
        <v>80.967917346383899</v>
      </c>
      <c r="F11" s="111">
        <v>343</v>
      </c>
      <c r="G11" s="103">
        <f t="shared" si="6"/>
        <v>18.651441000543773</v>
      </c>
      <c r="H11" s="111">
        <v>7</v>
      </c>
      <c r="I11" s="104">
        <f t="shared" si="7"/>
        <v>0.38064165307232195</v>
      </c>
      <c r="J11" s="105"/>
      <c r="K11" s="106"/>
      <c r="L11" s="107"/>
      <c r="M11" s="112"/>
      <c r="N11" s="113"/>
      <c r="O11" s="295" t="s">
        <v>22</v>
      </c>
      <c r="P11" s="301">
        <f>SUM(S11+Q11+U11)</f>
        <v>1839</v>
      </c>
      <c r="Q11" s="296">
        <v>1489</v>
      </c>
      <c r="R11" s="311">
        <f>Q11/P11*100</f>
        <v>80.967917346383899</v>
      </c>
      <c r="S11" s="292">
        <v>343</v>
      </c>
      <c r="T11" s="314">
        <f>S11/P11*100</f>
        <v>18.651441000543773</v>
      </c>
      <c r="U11" s="292">
        <v>7</v>
      </c>
      <c r="V11" s="314">
        <f>U11/P11*100</f>
        <v>0.38064165307232195</v>
      </c>
    </row>
    <row r="12" spans="2:22" ht="27.75" customHeight="1" thickBot="1">
      <c r="B12" s="115" t="s">
        <v>12</v>
      </c>
      <c r="C12" s="101">
        <f t="shared" si="4"/>
        <v>414</v>
      </c>
      <c r="D12" s="111">
        <v>391</v>
      </c>
      <c r="E12" s="103">
        <f t="shared" si="5"/>
        <v>94.444444444444443</v>
      </c>
      <c r="F12" s="111">
        <v>23</v>
      </c>
      <c r="G12" s="103">
        <f t="shared" si="6"/>
        <v>5.5555555555555554</v>
      </c>
      <c r="H12" s="111">
        <v>0</v>
      </c>
      <c r="I12" s="104">
        <f t="shared" si="7"/>
        <v>0</v>
      </c>
      <c r="J12" s="105"/>
      <c r="K12" s="106"/>
      <c r="L12" s="107"/>
      <c r="M12" s="112"/>
      <c r="N12" s="113"/>
      <c r="O12" s="295" t="s">
        <v>25</v>
      </c>
      <c r="P12" s="301">
        <f>SUM(S12+Q12+U12)</f>
        <v>414</v>
      </c>
      <c r="Q12" s="296">
        <v>391</v>
      </c>
      <c r="R12" s="311">
        <f>Q12/P12*100</f>
        <v>94.444444444444443</v>
      </c>
      <c r="S12" s="292">
        <v>23</v>
      </c>
      <c r="T12" s="314">
        <f>S12/P12*100</f>
        <v>5.5555555555555554</v>
      </c>
      <c r="U12" s="291"/>
      <c r="V12" s="315">
        <f>U12/P12*100</f>
        <v>0</v>
      </c>
    </row>
    <row r="13" spans="2:22" ht="27.75" customHeight="1" thickBot="1">
      <c r="B13" s="118" t="s">
        <v>13</v>
      </c>
      <c r="C13" s="101">
        <f t="shared" si="4"/>
        <v>887</v>
      </c>
      <c r="D13" s="111">
        <v>459</v>
      </c>
      <c r="E13" s="103">
        <f t="shared" si="5"/>
        <v>51.747463359639234</v>
      </c>
      <c r="F13" s="111">
        <v>427</v>
      </c>
      <c r="G13" s="103">
        <f t="shared" si="6"/>
        <v>48.139797068771138</v>
      </c>
      <c r="H13" s="111">
        <v>1</v>
      </c>
      <c r="I13" s="104">
        <f t="shared" si="7"/>
        <v>0.11273957158962795</v>
      </c>
      <c r="J13" s="105"/>
      <c r="K13" s="106"/>
      <c r="L13" s="107"/>
      <c r="M13" s="112"/>
      <c r="N13" s="113"/>
      <c r="O13" s="297" t="s">
        <v>30</v>
      </c>
      <c r="P13" s="301">
        <f>SUM(S13+Q13+U13)</f>
        <v>887</v>
      </c>
      <c r="Q13" s="299">
        <v>459</v>
      </c>
      <c r="R13" s="312">
        <f>Q13/P13*100</f>
        <v>51.747463359639234</v>
      </c>
      <c r="S13" s="298">
        <v>427</v>
      </c>
      <c r="T13" s="316">
        <f>S13/P13*100</f>
        <v>48.139797068771138</v>
      </c>
      <c r="U13" s="298">
        <v>1</v>
      </c>
      <c r="V13" s="316">
        <f>U13/P13*100</f>
        <v>0.11273957158962795</v>
      </c>
    </row>
    <row r="14" spans="2:22" ht="27.75" customHeight="1" thickBot="1">
      <c r="B14" s="119" t="s">
        <v>14</v>
      </c>
      <c r="C14" s="101">
        <f t="shared" si="4"/>
        <v>99</v>
      </c>
      <c r="D14" s="111">
        <v>98</v>
      </c>
      <c r="E14" s="103">
        <f t="shared" si="5"/>
        <v>98.98989898989899</v>
      </c>
      <c r="F14" s="111">
        <v>1</v>
      </c>
      <c r="G14" s="103">
        <f t="shared" si="6"/>
        <v>1.0101010101010102</v>
      </c>
      <c r="H14" s="111">
        <v>0</v>
      </c>
      <c r="I14" s="104">
        <f t="shared" si="7"/>
        <v>0</v>
      </c>
      <c r="J14" s="105"/>
      <c r="K14" s="106"/>
      <c r="L14" s="107"/>
      <c r="O14" s="295" t="s">
        <v>202</v>
      </c>
      <c r="P14" s="301">
        <f>SUM(S14+Q14+U14)</f>
        <v>99</v>
      </c>
      <c r="Q14" s="296">
        <v>98</v>
      </c>
      <c r="R14" s="311">
        <f>Q14/P14*100</f>
        <v>98.98989898989899</v>
      </c>
      <c r="S14" s="292">
        <v>1</v>
      </c>
      <c r="T14" s="314">
        <f>S14/P14*100</f>
        <v>1.0101010101010102</v>
      </c>
      <c r="U14" s="291"/>
      <c r="V14" s="315">
        <f>U14/P14*100</f>
        <v>0</v>
      </c>
    </row>
    <row r="15" spans="2:22" ht="27.75" customHeight="1" thickBot="1">
      <c r="B15" s="120" t="s">
        <v>15</v>
      </c>
      <c r="C15" s="101">
        <f t="shared" si="4"/>
        <v>1729</v>
      </c>
      <c r="D15" s="111">
        <v>1608</v>
      </c>
      <c r="E15" s="103">
        <f t="shared" si="5"/>
        <v>93.001735106998268</v>
      </c>
      <c r="F15" s="111">
        <v>115</v>
      </c>
      <c r="G15" s="103">
        <f t="shared" si="6"/>
        <v>6.6512434933487556</v>
      </c>
      <c r="H15" s="111">
        <v>6</v>
      </c>
      <c r="I15" s="104">
        <f t="shared" si="7"/>
        <v>0.34702139965297862</v>
      </c>
      <c r="J15" s="105"/>
      <c r="K15" s="106"/>
      <c r="L15" s="107"/>
      <c r="O15" s="295" t="s">
        <v>147</v>
      </c>
      <c r="P15" s="301">
        <v>1729</v>
      </c>
      <c r="Q15" s="296">
        <v>1608</v>
      </c>
      <c r="R15" s="311">
        <v>93.001735106998268</v>
      </c>
      <c r="S15" s="292">
        <v>115</v>
      </c>
      <c r="T15" s="314">
        <v>6.6512434933487556</v>
      </c>
      <c r="U15" s="291">
        <v>6</v>
      </c>
      <c r="V15" s="315">
        <v>0.34702139965297862</v>
      </c>
    </row>
    <row r="16" spans="2:22" ht="27.75" customHeight="1" thickBot="1">
      <c r="B16" s="121" t="s">
        <v>16</v>
      </c>
      <c r="C16" s="122">
        <f>SUM(C9:C15)</f>
        <v>11500</v>
      </c>
      <c r="D16" s="123">
        <f>SUM(D9:D15)</f>
        <v>7198</v>
      </c>
      <c r="E16" s="124">
        <f>D16/C16*100</f>
        <v>62.591304347826082</v>
      </c>
      <c r="F16" s="123">
        <f>SUM(F9:F15)</f>
        <v>4169</v>
      </c>
      <c r="G16" s="124">
        <f t="shared" si="6"/>
        <v>36.252173913043478</v>
      </c>
      <c r="H16" s="123">
        <f>SUM(H9:H15)</f>
        <v>133</v>
      </c>
      <c r="I16" s="125">
        <v>1.1000000000000001</v>
      </c>
      <c r="J16" s="105"/>
      <c r="K16" s="106"/>
      <c r="L16" s="107"/>
      <c r="O16" s="295"/>
      <c r="P16" s="301">
        <f>SUM(P9:P15)</f>
        <v>11500</v>
      </c>
      <c r="Q16" s="296">
        <f>SUM(Q9:Q15)</f>
        <v>7198</v>
      </c>
      <c r="R16" s="311">
        <f>Q16/P16*100</f>
        <v>62.591304347826082</v>
      </c>
      <c r="S16" s="292">
        <f>SUM(S9:S15)</f>
        <v>4169</v>
      </c>
      <c r="T16" s="314">
        <f>S16/P16*100</f>
        <v>36.252173913043478</v>
      </c>
      <c r="U16" s="291">
        <f>SUM(U9:U15)</f>
        <v>133</v>
      </c>
      <c r="V16" s="315">
        <f>U16/P16*100</f>
        <v>1.1565217391304348</v>
      </c>
    </row>
    <row r="17" spans="2:22" ht="50.25" customHeight="1" thickTop="1" thickBot="1">
      <c r="B17" s="373"/>
      <c r="C17" s="373"/>
      <c r="D17" s="373"/>
      <c r="E17" s="373"/>
      <c r="F17" s="373"/>
      <c r="G17" s="373"/>
      <c r="H17" s="373"/>
      <c r="I17" s="373"/>
      <c r="O17" s="295" t="s">
        <v>203</v>
      </c>
      <c r="P17" s="301">
        <f t="shared" ref="P17:P31" si="8">SUM(S17+Q17+U17)</f>
        <v>565</v>
      </c>
      <c r="Q17" s="296">
        <v>563</v>
      </c>
      <c r="R17" s="311">
        <f t="shared" ref="R17:R32" si="9">Q17/P17*100</f>
        <v>99.646017699115035</v>
      </c>
      <c r="S17" s="292">
        <v>2</v>
      </c>
      <c r="T17" s="314">
        <f t="shared" ref="T17:T32" si="10">S17/P17*100</f>
        <v>0.35398230088495575</v>
      </c>
      <c r="U17" s="291"/>
      <c r="V17" s="315">
        <f t="shared" ref="V17:V32" si="11">U17/P17*100</f>
        <v>0</v>
      </c>
    </row>
    <row r="18" spans="2:22" ht="16.5" thickBot="1">
      <c r="B18" s="269" t="s">
        <v>174</v>
      </c>
      <c r="C18" s="245"/>
      <c r="D18" s="245"/>
      <c r="E18" s="245"/>
      <c r="F18" s="245"/>
      <c r="G18" s="245"/>
      <c r="H18" s="245"/>
      <c r="I18" s="245"/>
      <c r="O18" s="330" t="s">
        <v>204</v>
      </c>
      <c r="P18" s="301">
        <f t="shared" si="8"/>
        <v>60</v>
      </c>
      <c r="Q18" s="296">
        <v>55</v>
      </c>
      <c r="R18" s="311">
        <f t="shared" si="9"/>
        <v>91.666666666666657</v>
      </c>
      <c r="S18" s="292">
        <v>5</v>
      </c>
      <c r="T18" s="314">
        <f t="shared" si="10"/>
        <v>8.3333333333333321</v>
      </c>
      <c r="U18" s="291"/>
      <c r="V18" s="315">
        <f t="shared" si="11"/>
        <v>0</v>
      </c>
    </row>
    <row r="19" spans="2:22" ht="28.5" customHeight="1" thickBot="1">
      <c r="B19" s="374" t="s">
        <v>281</v>
      </c>
      <c r="C19" s="374"/>
      <c r="D19" s="374"/>
      <c r="E19" s="374"/>
      <c r="F19" s="374"/>
      <c r="G19" s="374"/>
      <c r="H19" s="374"/>
      <c r="I19" s="374"/>
      <c r="O19" s="330" t="s">
        <v>205</v>
      </c>
      <c r="P19" s="301">
        <f t="shared" si="8"/>
        <v>33</v>
      </c>
      <c r="Q19" s="296">
        <v>26</v>
      </c>
      <c r="R19" s="311">
        <f t="shared" si="9"/>
        <v>78.787878787878782</v>
      </c>
      <c r="S19" s="292">
        <v>6</v>
      </c>
      <c r="T19" s="314">
        <f t="shared" si="10"/>
        <v>18.181818181818183</v>
      </c>
      <c r="U19" s="292">
        <v>1</v>
      </c>
      <c r="V19" s="314">
        <f t="shared" si="11"/>
        <v>3.0303030303030303</v>
      </c>
    </row>
    <row r="20" spans="2:22" ht="16.5" thickBot="1">
      <c r="B20" s="269" t="s">
        <v>178</v>
      </c>
      <c r="C20" s="180"/>
      <c r="D20" s="180"/>
      <c r="E20" s="180"/>
      <c r="F20" s="180"/>
      <c r="G20" s="180"/>
      <c r="H20" s="180"/>
      <c r="I20" s="180"/>
      <c r="O20" s="330" t="s">
        <v>206</v>
      </c>
      <c r="P20" s="301">
        <f t="shared" si="8"/>
        <v>330</v>
      </c>
      <c r="Q20" s="296">
        <v>330</v>
      </c>
      <c r="R20" s="311">
        <f t="shared" si="9"/>
        <v>100</v>
      </c>
      <c r="S20" s="291"/>
      <c r="T20" s="315">
        <f t="shared" si="10"/>
        <v>0</v>
      </c>
      <c r="U20" s="291"/>
      <c r="V20" s="315">
        <f t="shared" si="11"/>
        <v>0</v>
      </c>
    </row>
    <row r="21" spans="2:22" ht="40.5" customHeight="1" thickBot="1">
      <c r="B21" s="375"/>
      <c r="C21" s="375"/>
      <c r="D21" s="375"/>
      <c r="E21" s="375"/>
      <c r="F21" s="375"/>
      <c r="G21" s="375"/>
      <c r="H21" s="375"/>
      <c r="I21" s="375"/>
      <c r="O21" s="330" t="s">
        <v>207</v>
      </c>
      <c r="P21" s="301">
        <f t="shared" si="8"/>
        <v>72</v>
      </c>
      <c r="Q21" s="296">
        <v>67</v>
      </c>
      <c r="R21" s="311">
        <f t="shared" si="9"/>
        <v>93.055555555555557</v>
      </c>
      <c r="S21" s="292">
        <v>5</v>
      </c>
      <c r="T21" s="314">
        <f t="shared" si="10"/>
        <v>6.9444444444444446</v>
      </c>
      <c r="U21" s="291"/>
      <c r="V21" s="315">
        <f t="shared" si="11"/>
        <v>0</v>
      </c>
    </row>
    <row r="22" spans="2:22" ht="16.5" thickBot="1">
      <c r="B22" s="25"/>
      <c r="C22" s="25"/>
      <c r="D22" s="25"/>
      <c r="E22" s="25"/>
      <c r="F22" s="25"/>
      <c r="G22" s="25"/>
      <c r="H22" s="25"/>
      <c r="I22" s="25"/>
      <c r="O22" s="330" t="s">
        <v>24</v>
      </c>
      <c r="P22" s="301">
        <f t="shared" si="8"/>
        <v>68</v>
      </c>
      <c r="Q22" s="296">
        <v>66</v>
      </c>
      <c r="R22" s="311">
        <f t="shared" si="9"/>
        <v>97.058823529411768</v>
      </c>
      <c r="S22" s="292">
        <v>2</v>
      </c>
      <c r="T22" s="314">
        <f t="shared" si="10"/>
        <v>2.9411764705882351</v>
      </c>
      <c r="U22" s="291"/>
      <c r="V22" s="315">
        <f t="shared" si="11"/>
        <v>0</v>
      </c>
    </row>
    <row r="23" spans="2:22" ht="28.5" customHeight="1" thickBot="1">
      <c r="B23" s="25"/>
      <c r="C23" s="25"/>
      <c r="D23" s="25"/>
      <c r="E23" s="25"/>
      <c r="F23" s="25"/>
      <c r="G23" s="25"/>
      <c r="H23" s="25"/>
      <c r="I23" s="25"/>
      <c r="O23" s="330" t="s">
        <v>208</v>
      </c>
      <c r="P23" s="301">
        <f t="shared" si="8"/>
        <v>2</v>
      </c>
      <c r="Q23" s="296">
        <v>2</v>
      </c>
      <c r="R23" s="311">
        <f t="shared" si="9"/>
        <v>100</v>
      </c>
      <c r="S23" s="291"/>
      <c r="T23" s="315">
        <f t="shared" si="10"/>
        <v>0</v>
      </c>
      <c r="U23" s="291"/>
      <c r="V23" s="315">
        <f t="shared" si="11"/>
        <v>0</v>
      </c>
    </row>
    <row r="24" spans="2:22" ht="30.75" customHeight="1" thickBot="1">
      <c r="B24" s="25"/>
      <c r="C24" s="25"/>
      <c r="D24" s="25"/>
      <c r="E24" s="25"/>
      <c r="F24" s="25"/>
      <c r="G24" s="25"/>
      <c r="H24" s="25"/>
      <c r="I24" s="25"/>
      <c r="O24" s="330" t="s">
        <v>209</v>
      </c>
      <c r="P24" s="301">
        <f t="shared" si="8"/>
        <v>71</v>
      </c>
      <c r="Q24" s="296">
        <v>51</v>
      </c>
      <c r="R24" s="311">
        <f t="shared" si="9"/>
        <v>71.83098591549296</v>
      </c>
      <c r="S24" s="292">
        <v>17</v>
      </c>
      <c r="T24" s="314">
        <f t="shared" si="10"/>
        <v>23.943661971830984</v>
      </c>
      <c r="U24" s="292">
        <v>3</v>
      </c>
      <c r="V24" s="314">
        <f t="shared" si="11"/>
        <v>4.225352112676056</v>
      </c>
    </row>
    <row r="25" spans="2:22" ht="16.5" thickBot="1">
      <c r="B25" s="25"/>
      <c r="C25" s="25"/>
      <c r="D25" s="25"/>
      <c r="E25" s="25"/>
      <c r="F25" s="25"/>
      <c r="G25" s="25"/>
      <c r="H25" s="25"/>
      <c r="I25" s="25"/>
      <c r="O25" s="330" t="s">
        <v>210</v>
      </c>
      <c r="P25" s="301">
        <f t="shared" si="8"/>
        <v>2</v>
      </c>
      <c r="Q25" s="296">
        <v>2</v>
      </c>
      <c r="R25" s="311">
        <f t="shared" si="9"/>
        <v>100</v>
      </c>
      <c r="S25" s="291"/>
      <c r="T25" s="315">
        <f t="shared" si="10"/>
        <v>0</v>
      </c>
      <c r="U25" s="291"/>
      <c r="V25" s="315">
        <f t="shared" si="11"/>
        <v>0</v>
      </c>
    </row>
    <row r="26" spans="2:22" ht="16.5" thickBot="1">
      <c r="B26" s="25"/>
      <c r="C26" s="25"/>
      <c r="D26" s="25"/>
      <c r="E26" s="25"/>
      <c r="F26" s="25"/>
      <c r="G26" s="25"/>
      <c r="H26" s="25"/>
      <c r="I26" s="25"/>
      <c r="O26" s="330" t="s">
        <v>211</v>
      </c>
      <c r="P26" s="301">
        <f t="shared" si="8"/>
        <v>57</v>
      </c>
      <c r="Q26" s="296">
        <v>56</v>
      </c>
      <c r="R26" s="311">
        <f t="shared" si="9"/>
        <v>98.245614035087712</v>
      </c>
      <c r="S26" s="292">
        <v>1</v>
      </c>
      <c r="T26" s="314">
        <f t="shared" si="10"/>
        <v>1.7543859649122806</v>
      </c>
      <c r="U26" s="291"/>
      <c r="V26" s="315">
        <f t="shared" si="11"/>
        <v>0</v>
      </c>
    </row>
    <row r="27" spans="2:22" ht="16.5" thickBot="1">
      <c r="B27" s="25"/>
      <c r="C27" s="25"/>
      <c r="D27" s="25"/>
      <c r="E27" s="25"/>
      <c r="F27" s="25"/>
      <c r="G27" s="25"/>
      <c r="H27" s="25"/>
      <c r="I27" s="25"/>
      <c r="O27" s="330" t="s">
        <v>27</v>
      </c>
      <c r="P27" s="301">
        <f t="shared" si="8"/>
        <v>8</v>
      </c>
      <c r="Q27" s="296">
        <v>7</v>
      </c>
      <c r="R27" s="311">
        <f t="shared" si="9"/>
        <v>87.5</v>
      </c>
      <c r="S27" s="292">
        <v>1</v>
      </c>
      <c r="T27" s="314">
        <f t="shared" si="10"/>
        <v>12.5</v>
      </c>
      <c r="U27" s="291"/>
      <c r="V27" s="315">
        <f t="shared" si="11"/>
        <v>0</v>
      </c>
    </row>
    <row r="28" spans="2:22" ht="15.75" thickBot="1">
      <c r="B28" s="25"/>
      <c r="C28" s="25"/>
      <c r="D28" s="25"/>
      <c r="E28" s="25"/>
      <c r="F28" s="25"/>
      <c r="G28" s="25"/>
      <c r="H28" s="25"/>
      <c r="I28" s="25"/>
      <c r="O28" s="330" t="s">
        <v>28</v>
      </c>
      <c r="P28" s="301">
        <f t="shared" si="8"/>
        <v>28</v>
      </c>
      <c r="Q28" s="296">
        <v>26</v>
      </c>
      <c r="R28" s="311">
        <f t="shared" si="9"/>
        <v>92.857142857142861</v>
      </c>
      <c r="S28" s="292">
        <v>1</v>
      </c>
      <c r="T28" s="314">
        <f t="shared" si="10"/>
        <v>3.5714285714285712</v>
      </c>
      <c r="U28" s="292">
        <v>1</v>
      </c>
      <c r="V28" s="314">
        <f t="shared" si="11"/>
        <v>3.5714285714285712</v>
      </c>
    </row>
    <row r="29" spans="2:22" ht="16.5" thickBot="1">
      <c r="B29" s="25"/>
      <c r="C29" s="25"/>
      <c r="D29" s="25"/>
      <c r="E29" s="25"/>
      <c r="F29" s="25"/>
      <c r="G29" s="25"/>
      <c r="H29" s="25"/>
      <c r="I29" s="25"/>
      <c r="O29" s="330" t="s">
        <v>29</v>
      </c>
      <c r="P29" s="301">
        <f t="shared" si="8"/>
        <v>27</v>
      </c>
      <c r="Q29" s="296">
        <v>19</v>
      </c>
      <c r="R29" s="311">
        <f t="shared" si="9"/>
        <v>70.370370370370367</v>
      </c>
      <c r="S29" s="292">
        <v>8</v>
      </c>
      <c r="T29" s="314">
        <f t="shared" si="10"/>
        <v>29.629629629629626</v>
      </c>
      <c r="U29" s="291"/>
      <c r="V29" s="315">
        <f t="shared" si="11"/>
        <v>0</v>
      </c>
    </row>
    <row r="30" spans="2:22" ht="30.75" thickBot="1">
      <c r="B30" s="25"/>
      <c r="C30" s="25"/>
      <c r="D30" s="25"/>
      <c r="E30" s="25"/>
      <c r="F30" s="25"/>
      <c r="G30" s="25"/>
      <c r="H30" s="25"/>
      <c r="I30" s="25"/>
      <c r="O30" s="330" t="s">
        <v>212</v>
      </c>
      <c r="P30" s="301">
        <f t="shared" si="8"/>
        <v>260</v>
      </c>
      <c r="Q30" s="296">
        <v>193</v>
      </c>
      <c r="R30" s="311">
        <f t="shared" si="9"/>
        <v>74.230769230769226</v>
      </c>
      <c r="S30" s="292">
        <v>66</v>
      </c>
      <c r="T30" s="314">
        <f t="shared" si="10"/>
        <v>25.384615384615383</v>
      </c>
      <c r="U30" s="292">
        <v>1</v>
      </c>
      <c r="V30" s="314">
        <f t="shared" si="11"/>
        <v>0.38461538461538464</v>
      </c>
    </row>
    <row r="31" spans="2:22" ht="16.5" thickBot="1">
      <c r="B31" s="25"/>
      <c r="C31" s="25"/>
      <c r="D31" s="25"/>
      <c r="E31" s="25"/>
      <c r="F31" s="25"/>
      <c r="G31" s="25"/>
      <c r="H31" s="25"/>
      <c r="I31" s="25"/>
      <c r="O31" s="330" t="s">
        <v>213</v>
      </c>
      <c r="P31" s="301">
        <f t="shared" si="8"/>
        <v>146</v>
      </c>
      <c r="Q31" s="296">
        <v>145</v>
      </c>
      <c r="R31" s="311">
        <f t="shared" si="9"/>
        <v>99.315068493150676</v>
      </c>
      <c r="S31" s="292">
        <v>1</v>
      </c>
      <c r="T31" s="314">
        <f t="shared" si="10"/>
        <v>0.68493150684931503</v>
      </c>
      <c r="U31" s="291"/>
      <c r="V31" s="315">
        <f t="shared" si="11"/>
        <v>0</v>
      </c>
    </row>
    <row r="32" spans="2:22" ht="15.75">
      <c r="B32" s="376"/>
      <c r="C32" s="376"/>
      <c r="D32" s="376"/>
      <c r="E32" s="376"/>
      <c r="F32" s="376"/>
      <c r="G32" s="376"/>
      <c r="H32" s="376"/>
      <c r="I32" s="376"/>
      <c r="P32" s="32">
        <f>SUM(P17:P31)</f>
        <v>1729</v>
      </c>
      <c r="Q32" s="32">
        <f>SUM(Q17:Q31)</f>
        <v>1608</v>
      </c>
      <c r="R32" s="243">
        <f t="shared" si="9"/>
        <v>93.001735106998268</v>
      </c>
      <c r="S32" s="32">
        <f>SUM(S17:S31)</f>
        <v>115</v>
      </c>
      <c r="T32" s="243">
        <f t="shared" si="10"/>
        <v>6.6512434933487556</v>
      </c>
      <c r="U32" s="32">
        <f>SUM(U17:U31)</f>
        <v>6</v>
      </c>
      <c r="V32" s="243">
        <f t="shared" si="11"/>
        <v>0.34702139965297862</v>
      </c>
    </row>
    <row r="33" spans="2:21" ht="15.75">
      <c r="B33" s="126"/>
      <c r="C33" s="126"/>
      <c r="D33" s="126"/>
      <c r="E33" s="126"/>
      <c r="F33" s="126"/>
      <c r="G33" s="126"/>
      <c r="H33" s="126"/>
      <c r="I33" s="126"/>
      <c r="O33" s="108"/>
      <c r="P33" s="109"/>
      <c r="Q33" s="109"/>
      <c r="R33" s="109"/>
      <c r="S33" s="109"/>
      <c r="T33" s="109"/>
      <c r="U33" s="109"/>
    </row>
    <row r="34" spans="2:21" ht="15.75">
      <c r="B34" s="126"/>
      <c r="C34" s="126"/>
      <c r="D34" s="126"/>
      <c r="E34" s="126"/>
      <c r="F34" s="126"/>
      <c r="G34" s="126"/>
      <c r="H34" s="126"/>
      <c r="I34" s="126"/>
      <c r="O34" s="108"/>
      <c r="P34" s="109"/>
      <c r="Q34" s="109"/>
      <c r="R34" s="109"/>
      <c r="S34" s="109"/>
      <c r="T34" s="109"/>
      <c r="U34" s="109"/>
    </row>
    <row r="35" spans="2:21" ht="15.75">
      <c r="B35" s="126"/>
      <c r="C35" s="126"/>
      <c r="D35" s="126"/>
      <c r="E35" s="126"/>
      <c r="F35" s="126"/>
      <c r="G35" s="126"/>
      <c r="H35" s="126"/>
      <c r="I35" s="126"/>
      <c r="O35" s="108"/>
      <c r="P35" s="109"/>
      <c r="Q35" s="109"/>
      <c r="R35" s="116"/>
      <c r="S35" s="117"/>
      <c r="T35" s="117"/>
      <c r="U35" s="117"/>
    </row>
    <row r="36" spans="2:21" ht="15.75">
      <c r="B36" s="126"/>
      <c r="C36" s="126"/>
      <c r="D36" s="126"/>
      <c r="E36" s="126"/>
      <c r="F36" s="126"/>
      <c r="G36" s="126"/>
      <c r="H36" s="126"/>
      <c r="I36" s="126"/>
      <c r="O36" s="108"/>
      <c r="P36" s="109"/>
      <c r="Q36" s="109"/>
      <c r="R36" s="116"/>
      <c r="S36" s="117"/>
      <c r="T36" s="117"/>
      <c r="U36" s="117"/>
    </row>
    <row r="37" spans="2:21" ht="15.75">
      <c r="B37" s="126"/>
      <c r="C37" s="126"/>
      <c r="D37" s="126"/>
      <c r="E37" s="126"/>
      <c r="F37" s="126"/>
      <c r="G37" s="126"/>
      <c r="H37" s="126"/>
      <c r="I37" s="126"/>
      <c r="O37" s="108"/>
      <c r="P37" s="109"/>
      <c r="Q37" s="109"/>
      <c r="R37" s="116"/>
      <c r="S37" s="117"/>
      <c r="T37" s="117"/>
      <c r="U37" s="117"/>
    </row>
    <row r="38" spans="2:21" ht="15.75">
      <c r="B38" s="126"/>
      <c r="C38" s="126"/>
      <c r="D38" s="126"/>
      <c r="E38" s="126"/>
      <c r="F38" s="126"/>
      <c r="G38" s="126"/>
      <c r="H38" s="126"/>
      <c r="I38" s="126"/>
      <c r="O38" s="127"/>
      <c r="P38" s="128"/>
      <c r="Q38" s="128"/>
      <c r="R38" s="128"/>
      <c r="S38" s="128"/>
      <c r="T38" s="128"/>
      <c r="U38" s="128"/>
    </row>
    <row r="39" spans="2:21" ht="15" customHeight="1">
      <c r="B39" s="25"/>
      <c r="C39" s="25"/>
      <c r="D39" s="25"/>
      <c r="G39" s="25"/>
      <c r="H39" s="25"/>
      <c r="I39" s="25"/>
      <c r="O39" s="127"/>
      <c r="P39" s="128"/>
      <c r="Q39" s="128"/>
      <c r="R39" s="129"/>
      <c r="S39" s="129"/>
      <c r="T39" s="129"/>
      <c r="U39" s="130"/>
    </row>
    <row r="40" spans="2:21" ht="15">
      <c r="B40" s="365"/>
      <c r="C40" s="365"/>
      <c r="D40" s="365"/>
      <c r="E40" s="365"/>
      <c r="F40" s="365"/>
      <c r="G40" s="365"/>
      <c r="H40" s="365"/>
      <c r="I40" s="365"/>
      <c r="O40" s="127"/>
      <c r="P40" s="128"/>
      <c r="Q40" s="128"/>
      <c r="R40" s="128"/>
      <c r="S40" s="128"/>
      <c r="T40" s="128"/>
      <c r="U40" s="128"/>
    </row>
    <row r="41" spans="2:21" ht="21" customHeight="1">
      <c r="B41" s="25"/>
      <c r="C41" s="25"/>
      <c r="D41" s="25"/>
      <c r="E41" s="25"/>
      <c r="F41" s="25"/>
      <c r="G41" s="25"/>
      <c r="H41" s="25"/>
      <c r="I41" s="25"/>
      <c r="O41" s="127"/>
      <c r="P41" s="128"/>
      <c r="Q41" s="128"/>
      <c r="R41" s="129"/>
      <c r="S41" s="129"/>
      <c r="T41" s="129"/>
      <c r="U41" s="130"/>
    </row>
    <row r="42" spans="2:21" ht="54.75" customHeight="1">
      <c r="B42" s="365"/>
      <c r="C42" s="365"/>
      <c r="D42" s="365"/>
      <c r="E42" s="365"/>
      <c r="F42" s="365"/>
      <c r="G42" s="365"/>
      <c r="H42" s="365"/>
      <c r="I42" s="365"/>
      <c r="J42" s="98"/>
      <c r="O42" s="127"/>
      <c r="P42" s="128"/>
      <c r="Q42" s="128"/>
      <c r="R42" s="129"/>
      <c r="S42" s="129"/>
      <c r="T42" s="129"/>
      <c r="U42" s="130"/>
    </row>
    <row r="43" spans="2:21" ht="27.75" customHeight="1"/>
    <row r="44" spans="2:21" ht="27.75" customHeight="1">
      <c r="J44" s="131"/>
    </row>
    <row r="45" spans="2:21" ht="27.75" customHeight="1"/>
    <row r="46" spans="2:21" ht="27.75" customHeight="1"/>
    <row r="47" spans="2:21" ht="27.75" customHeight="1"/>
    <row r="48" spans="2:21" ht="27.75" customHeight="1"/>
    <row r="49" spans="2:9" ht="27.75" customHeight="1"/>
    <row r="50" spans="2:9" ht="27.75" customHeight="1"/>
    <row r="51" spans="2:9" ht="27.75" customHeight="1"/>
    <row r="56" spans="2:9">
      <c r="B56" s="377"/>
      <c r="C56" s="377"/>
      <c r="D56" s="377"/>
      <c r="E56" s="377"/>
      <c r="F56" s="377"/>
      <c r="G56" s="377"/>
      <c r="H56" s="377"/>
      <c r="I56" s="377"/>
    </row>
    <row r="57" spans="2:9">
      <c r="B57" s="132"/>
      <c r="C57" s="132"/>
      <c r="D57" s="132"/>
      <c r="E57" s="132"/>
      <c r="F57" s="132"/>
      <c r="G57" s="132"/>
      <c r="H57" s="132"/>
      <c r="I57" s="132"/>
    </row>
    <row r="58" spans="2:9">
      <c r="B58" s="132"/>
      <c r="C58" s="132"/>
      <c r="D58" s="132"/>
      <c r="E58" s="132"/>
      <c r="F58" s="132"/>
      <c r="G58" s="132"/>
      <c r="H58" s="132"/>
      <c r="I58" s="132"/>
    </row>
    <row r="59" spans="2:9">
      <c r="B59" s="132"/>
      <c r="C59" s="132"/>
      <c r="D59" s="132"/>
      <c r="E59" s="132"/>
      <c r="F59" s="132"/>
      <c r="G59" s="132"/>
      <c r="H59" s="132"/>
      <c r="I59" s="132"/>
    </row>
    <row r="60" spans="2:9">
      <c r="B60" s="132"/>
      <c r="C60" s="132"/>
      <c r="D60" s="132"/>
      <c r="E60" s="132"/>
      <c r="F60" s="132"/>
      <c r="G60" s="132"/>
      <c r="H60" s="132"/>
      <c r="I60" s="132"/>
    </row>
    <row r="61" spans="2:9">
      <c r="B61" s="132"/>
      <c r="C61" s="132"/>
      <c r="D61" s="132"/>
      <c r="E61" s="132"/>
      <c r="F61" s="132"/>
      <c r="G61" s="132"/>
      <c r="H61" s="132"/>
      <c r="I61" s="132"/>
    </row>
    <row r="62" spans="2:9">
      <c r="B62" s="132"/>
      <c r="C62" s="132"/>
      <c r="D62" s="132"/>
      <c r="E62" s="132"/>
      <c r="F62" s="132"/>
      <c r="G62" s="132"/>
      <c r="H62" s="132"/>
      <c r="I62" s="132"/>
    </row>
    <row r="64" spans="2:9" ht="15">
      <c r="B64" s="365"/>
      <c r="C64" s="365"/>
      <c r="D64" s="365"/>
      <c r="E64" s="365"/>
      <c r="F64" s="365"/>
      <c r="G64" s="365"/>
      <c r="H64" s="365"/>
      <c r="I64" s="365"/>
    </row>
    <row r="65" spans="2:10" ht="15">
      <c r="B65" s="365"/>
      <c r="C65" s="365"/>
      <c r="D65" s="365"/>
      <c r="E65" s="365"/>
      <c r="F65" s="365"/>
      <c r="G65" s="365"/>
      <c r="H65" s="365"/>
      <c r="I65" s="365"/>
    </row>
    <row r="66" spans="2:10" ht="21" customHeight="1"/>
    <row r="67" spans="2:10" ht="21" customHeight="1"/>
    <row r="68" spans="2:10" ht="54.75" customHeight="1">
      <c r="J68" s="98"/>
    </row>
    <row r="69" spans="2:10" ht="27.75" customHeight="1"/>
    <row r="70" spans="2:10" ht="27.75" customHeight="1"/>
    <row r="71" spans="2:10" ht="27.75" customHeight="1"/>
    <row r="73" spans="2:10" ht="27.75" customHeight="1"/>
    <row r="74" spans="2:10" ht="27.75" customHeight="1"/>
    <row r="79" spans="2:10">
      <c r="B79" s="377"/>
      <c r="C79" s="377"/>
      <c r="D79" s="377"/>
      <c r="E79" s="377"/>
      <c r="F79" s="377"/>
      <c r="G79" s="377"/>
      <c r="H79" s="377"/>
      <c r="I79" s="377"/>
    </row>
    <row r="80" spans="2:10">
      <c r="B80" s="132"/>
      <c r="C80" s="132"/>
      <c r="D80" s="132"/>
      <c r="E80" s="132"/>
      <c r="F80" s="132"/>
      <c r="G80" s="132"/>
      <c r="H80" s="132"/>
      <c r="I80" s="132"/>
    </row>
    <row r="81" spans="2:9">
      <c r="B81" s="132"/>
      <c r="C81" s="132"/>
      <c r="D81" s="132"/>
      <c r="E81" s="132"/>
      <c r="F81" s="132"/>
      <c r="G81" s="132"/>
      <c r="H81" s="132"/>
      <c r="I81" s="132"/>
    </row>
    <row r="82" spans="2:9">
      <c r="B82" s="132"/>
      <c r="C82" s="132"/>
      <c r="D82" s="132"/>
      <c r="E82" s="132"/>
      <c r="F82" s="132"/>
      <c r="G82" s="132"/>
      <c r="H82" s="132"/>
      <c r="I82" s="132"/>
    </row>
    <row r="83" spans="2:9">
      <c r="B83" s="132"/>
      <c r="C83" s="132"/>
      <c r="D83" s="132"/>
      <c r="E83" s="132"/>
      <c r="F83" s="132"/>
      <c r="G83" s="132"/>
      <c r="H83" s="132"/>
      <c r="I83" s="132"/>
    </row>
    <row r="84" spans="2:9">
      <c r="B84" s="132"/>
      <c r="C84" s="132"/>
      <c r="D84" s="132"/>
      <c r="E84" s="132"/>
      <c r="F84" s="132"/>
      <c r="G84" s="132"/>
      <c r="H84" s="132"/>
      <c r="I84" s="132"/>
    </row>
    <row r="85" spans="2:9">
      <c r="B85" s="132"/>
      <c r="C85" s="132"/>
      <c r="D85" s="132"/>
      <c r="E85" s="132"/>
      <c r="F85" s="132"/>
      <c r="G85" s="132"/>
      <c r="H85" s="132"/>
      <c r="I85" s="132"/>
    </row>
    <row r="87" spans="2:9" ht="15">
      <c r="B87" s="365"/>
      <c r="C87" s="365"/>
      <c r="D87" s="365"/>
      <c r="E87" s="365"/>
      <c r="F87" s="365"/>
      <c r="G87" s="365"/>
      <c r="H87" s="365"/>
      <c r="I87" s="365"/>
    </row>
  </sheetData>
  <sheetProtection selectLockedCells="1" selectUnlockedCells="1"/>
  <mergeCells count="20">
    <mergeCell ref="B56:I56"/>
    <mergeCell ref="B64:I64"/>
    <mergeCell ref="B65:I65"/>
    <mergeCell ref="B79:I79"/>
    <mergeCell ref="B87:I87"/>
    <mergeCell ref="B42:I42"/>
    <mergeCell ref="B1:I1"/>
    <mergeCell ref="B2:I2"/>
    <mergeCell ref="B3:I3"/>
    <mergeCell ref="B5:I5"/>
    <mergeCell ref="B7:B8"/>
    <mergeCell ref="C7:C8"/>
    <mergeCell ref="D7:G7"/>
    <mergeCell ref="H7:H8"/>
    <mergeCell ref="I7:I8"/>
    <mergeCell ref="B17:I17"/>
    <mergeCell ref="B19:I19"/>
    <mergeCell ref="B21:I21"/>
    <mergeCell ref="B32:I32"/>
    <mergeCell ref="B40:I40"/>
  </mergeCells>
  <printOptions horizontalCentered="1" verticalCentered="1"/>
  <pageMargins left="0.23622047244094491" right="0.23622047244094491" top="0.82677165354330717" bottom="0.78740157480314965" header="0.51181102362204722" footer="0.15748031496062992"/>
  <pageSetup paperSize="9" scale="45" firstPageNumber="0" orientation="landscape" verticalDpi="300" r:id="rId1"/>
  <headerFooter scaleWithDoc="0" alignWithMargins="0">
    <oddFooter>&amp;R&amp;"Verdana,Normale"&amp;8MINISTERO DELLA SALUTE  Direzione Generale per l'Igiene e la Sicurezza degli Alimenti e la NutrizionePagina 136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58"/>
  <sheetViews>
    <sheetView view="pageBreakPreview" topLeftCell="A19" zoomScale="60" zoomScaleNormal="40" workbookViewId="0">
      <selection activeCell="N30" sqref="N30"/>
    </sheetView>
  </sheetViews>
  <sheetFormatPr defaultColWidth="9.140625" defaultRowHeight="25.5"/>
  <cols>
    <col min="1" max="1" width="14.7109375" style="32" customWidth="1"/>
    <col min="2" max="2" width="31.85546875" style="38" customWidth="1"/>
    <col min="3" max="13" width="20.7109375" style="32" customWidth="1"/>
    <col min="14" max="14" width="16.28515625" style="32" customWidth="1"/>
    <col min="15" max="15" width="14.7109375" style="32" customWidth="1"/>
    <col min="16" max="16" width="9.140625" style="32"/>
    <col min="17" max="19" width="19.140625" style="32" customWidth="1"/>
    <col min="20" max="16384" width="9.140625" style="32"/>
  </cols>
  <sheetData>
    <row r="1" spans="2:24" s="36" customFormat="1" ht="91.5" customHeight="1">
      <c r="B1" s="382" t="s">
        <v>129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2:24" s="36" customFormat="1" ht="57" customHeight="1">
      <c r="B2" s="383" t="s">
        <v>132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2:24" s="36" customFormat="1" ht="45">
      <c r="B3" s="384" t="s">
        <v>84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</row>
    <row r="4" spans="2:24" ht="50.25" customHeight="1">
      <c r="B4" s="383" t="s">
        <v>201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</row>
    <row r="5" spans="2:24" ht="27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24" ht="27.7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24" ht="27.75" customHeight="1">
      <c r="B7" s="385" t="s">
        <v>85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</row>
    <row r="8" spans="2:24" ht="15" customHeight="1" thickBot="1"/>
    <row r="9" spans="2:24" ht="31.5" customHeight="1" thickTop="1" thickBot="1">
      <c r="B9" s="386" t="s">
        <v>86</v>
      </c>
      <c r="C9" s="387" t="s">
        <v>87</v>
      </c>
      <c r="D9" s="387"/>
      <c r="E9" s="387"/>
      <c r="F9" s="387"/>
      <c r="G9" s="387"/>
      <c r="H9" s="387"/>
      <c r="I9" s="388" t="s">
        <v>88</v>
      </c>
      <c r="J9" s="388"/>
      <c r="K9" s="388"/>
      <c r="L9" s="388"/>
      <c r="M9" s="388"/>
      <c r="N9" s="388"/>
    </row>
    <row r="10" spans="2:24" ht="77.25" customHeight="1" thickTop="1" thickBot="1">
      <c r="B10" s="386"/>
      <c r="C10" s="39" t="s">
        <v>9</v>
      </c>
      <c r="D10" s="40" t="s">
        <v>179</v>
      </c>
      <c r="E10" s="41" t="s">
        <v>11</v>
      </c>
      <c r="F10" s="42" t="s">
        <v>12</v>
      </c>
      <c r="G10" s="43" t="s">
        <v>13</v>
      </c>
      <c r="H10" s="44" t="s">
        <v>35</v>
      </c>
      <c r="I10" s="39" t="s">
        <v>9</v>
      </c>
      <c r="J10" s="40" t="s">
        <v>10</v>
      </c>
      <c r="K10" s="41" t="s">
        <v>34</v>
      </c>
      <c r="L10" s="42" t="s">
        <v>12</v>
      </c>
      <c r="M10" s="43" t="s">
        <v>13</v>
      </c>
      <c r="N10" s="45" t="s">
        <v>89</v>
      </c>
      <c r="R10" s="87" t="s">
        <v>90</v>
      </c>
      <c r="S10" s="87" t="s">
        <v>23</v>
      </c>
      <c r="T10" s="87" t="s">
        <v>26</v>
      </c>
      <c r="U10" s="87" t="s">
        <v>22</v>
      </c>
      <c r="V10" s="87" t="s">
        <v>25</v>
      </c>
      <c r="W10" s="87" t="s">
        <v>30</v>
      </c>
      <c r="X10" s="87" t="s">
        <v>18</v>
      </c>
    </row>
    <row r="11" spans="2:24" ht="35.1" customHeight="1" thickTop="1" thickBot="1">
      <c r="B11" s="46" t="s">
        <v>36</v>
      </c>
      <c r="C11" s="47">
        <v>150</v>
      </c>
      <c r="D11" s="48">
        <v>124</v>
      </c>
      <c r="E11" s="48">
        <v>65</v>
      </c>
      <c r="F11" s="48">
        <v>30</v>
      </c>
      <c r="G11" s="49">
        <v>52</v>
      </c>
      <c r="H11" s="50">
        <f>C11+D11+E11+F11+G11</f>
        <v>421</v>
      </c>
      <c r="I11" s="48">
        <f>C11/76*100</f>
        <v>197.36842105263156</v>
      </c>
      <c r="J11" s="48">
        <f>D11/81*100</f>
        <v>153.0864197530864</v>
      </c>
      <c r="K11" s="48">
        <f>E11/39*100</f>
        <v>166.66666666666669</v>
      </c>
      <c r="L11" s="48">
        <f>F11/10*100</f>
        <v>300</v>
      </c>
      <c r="M11" s="51">
        <f>G11/45*100</f>
        <v>115.55555555555554</v>
      </c>
      <c r="N11" s="52">
        <f>H11/251*100</f>
        <v>167.72908366533866</v>
      </c>
      <c r="R11" s="88" t="s">
        <v>91</v>
      </c>
      <c r="S11" s="89">
        <v>147</v>
      </c>
      <c r="T11" s="89">
        <v>117</v>
      </c>
      <c r="U11" s="89">
        <v>51</v>
      </c>
      <c r="V11" s="89">
        <v>30</v>
      </c>
      <c r="W11" s="89">
        <v>52</v>
      </c>
      <c r="X11" s="89">
        <v>397</v>
      </c>
    </row>
    <row r="12" spans="2:24" ht="35.1" customHeight="1" thickTop="1" thickBot="1">
      <c r="B12" s="46" t="s">
        <v>38</v>
      </c>
      <c r="C12" s="53">
        <v>38</v>
      </c>
      <c r="D12" s="54">
        <v>38</v>
      </c>
      <c r="E12" s="54">
        <v>64</v>
      </c>
      <c r="F12" s="54">
        <v>10</v>
      </c>
      <c r="G12" s="55">
        <v>10</v>
      </c>
      <c r="H12" s="50">
        <f t="shared" ref="H12:H31" si="0">C12+D12+E12+F12+G12</f>
        <v>160</v>
      </c>
      <c r="I12" s="54">
        <f>C12/30*100</f>
        <v>126.66666666666666</v>
      </c>
      <c r="J12" s="54">
        <f>D12/31*100</f>
        <v>122.58064516129032</v>
      </c>
      <c r="K12" s="54">
        <f>E12/57*100</f>
        <v>112.28070175438596</v>
      </c>
      <c r="L12" s="54">
        <f>F12/5*100</f>
        <v>200</v>
      </c>
      <c r="M12" s="56">
        <f>G12/10*100</f>
        <v>100</v>
      </c>
      <c r="N12" s="52">
        <f>H12/133*100</f>
        <v>120.30075187969925</v>
      </c>
      <c r="R12" s="88" t="s">
        <v>92</v>
      </c>
      <c r="S12" s="89">
        <v>37</v>
      </c>
      <c r="T12" s="89">
        <v>43</v>
      </c>
      <c r="U12" s="89">
        <v>58</v>
      </c>
      <c r="V12" s="89">
        <v>10</v>
      </c>
      <c r="W12" s="89">
        <v>9</v>
      </c>
      <c r="X12" s="89">
        <v>157</v>
      </c>
    </row>
    <row r="13" spans="2:24" ht="51" customHeight="1" thickTop="1" thickBot="1">
      <c r="B13" s="46" t="s">
        <v>41</v>
      </c>
      <c r="C13" s="53">
        <v>127</v>
      </c>
      <c r="D13" s="54">
        <v>30</v>
      </c>
      <c r="E13" s="54">
        <v>10</v>
      </c>
      <c r="F13" s="54">
        <v>6</v>
      </c>
      <c r="G13" s="55">
        <v>28</v>
      </c>
      <c r="H13" s="50">
        <f t="shared" si="0"/>
        <v>201</v>
      </c>
      <c r="I13" s="54">
        <f>C13/71*100</f>
        <v>178.87323943661971</v>
      </c>
      <c r="J13" s="54">
        <f>D13/10*100</f>
        <v>300</v>
      </c>
      <c r="K13" s="54">
        <f>E13/5*100</f>
        <v>200</v>
      </c>
      <c r="L13" s="54">
        <f>F13/5*100</f>
        <v>120</v>
      </c>
      <c r="M13" s="56">
        <f>G13/10*100</f>
        <v>280</v>
      </c>
      <c r="N13" s="52">
        <f>H13/101*100</f>
        <v>199.009900990099</v>
      </c>
      <c r="P13" s="57"/>
      <c r="R13" s="88" t="s">
        <v>93</v>
      </c>
      <c r="S13" s="89">
        <v>92</v>
      </c>
      <c r="T13" s="89">
        <v>34</v>
      </c>
      <c r="U13" s="89">
        <v>5</v>
      </c>
      <c r="V13" s="89">
        <v>6</v>
      </c>
      <c r="W13" s="89">
        <v>21</v>
      </c>
      <c r="X13" s="89">
        <v>158</v>
      </c>
    </row>
    <row r="14" spans="2:24" ht="35.1" customHeight="1" thickTop="1" thickBot="1">
      <c r="B14" s="46" t="s">
        <v>94</v>
      </c>
      <c r="C14" s="53">
        <v>162</v>
      </c>
      <c r="D14" s="54">
        <v>130</v>
      </c>
      <c r="E14" s="54">
        <v>37</v>
      </c>
      <c r="F14" s="54">
        <v>37</v>
      </c>
      <c r="G14" s="55">
        <v>24</v>
      </c>
      <c r="H14" s="50">
        <f t="shared" si="0"/>
        <v>390</v>
      </c>
      <c r="I14" s="54">
        <f>C14/123*100</f>
        <v>131.70731707317074</v>
      </c>
      <c r="J14" s="54">
        <f>D14/76*100</f>
        <v>171.05263157894737</v>
      </c>
      <c r="K14" s="54">
        <f>E14/18*100</f>
        <v>205.55555555555554</v>
      </c>
      <c r="L14" s="54">
        <f>F14/24*100</f>
        <v>154.16666666666669</v>
      </c>
      <c r="M14" s="56">
        <f>G14/13*100</f>
        <v>184.61538461538461</v>
      </c>
      <c r="N14" s="52">
        <f>H14/254*100</f>
        <v>153.54330708661416</v>
      </c>
      <c r="P14" s="58"/>
      <c r="R14" s="88" t="s">
        <v>95</v>
      </c>
      <c r="S14" s="89">
        <v>174</v>
      </c>
      <c r="T14" s="89">
        <v>138</v>
      </c>
      <c r="U14" s="89">
        <v>16</v>
      </c>
      <c r="V14" s="89">
        <v>49</v>
      </c>
      <c r="W14" s="89">
        <v>22</v>
      </c>
      <c r="X14" s="89">
        <v>399</v>
      </c>
    </row>
    <row r="15" spans="2:24" s="60" customFormat="1" ht="35.1" customHeight="1" thickTop="1" thickBot="1">
      <c r="B15" s="46" t="s">
        <v>46</v>
      </c>
      <c r="C15" s="53">
        <v>217</v>
      </c>
      <c r="D15" s="54">
        <v>296</v>
      </c>
      <c r="E15" s="54">
        <v>116</v>
      </c>
      <c r="F15" s="54">
        <v>21</v>
      </c>
      <c r="G15" s="55">
        <v>33</v>
      </c>
      <c r="H15" s="50">
        <f t="shared" si="0"/>
        <v>683</v>
      </c>
      <c r="I15" s="54">
        <f>C15/181*100</f>
        <v>119.88950276243094</v>
      </c>
      <c r="J15" s="54">
        <f>D15/258*100</f>
        <v>114.72868217054264</v>
      </c>
      <c r="K15" s="54">
        <f>E15/70*100</f>
        <v>165.71428571428572</v>
      </c>
      <c r="L15" s="54">
        <f>F15/10*100</f>
        <v>210</v>
      </c>
      <c r="M15" s="56">
        <f>G15/27*100</f>
        <v>122.22222222222223</v>
      </c>
      <c r="N15" s="52">
        <f>H15/546*100</f>
        <v>125.09157509157509</v>
      </c>
      <c r="O15" s="32"/>
      <c r="P15" s="59"/>
      <c r="R15" s="88" t="s">
        <v>96</v>
      </c>
      <c r="S15" s="89">
        <v>248</v>
      </c>
      <c r="T15" s="89">
        <v>280</v>
      </c>
      <c r="U15" s="89">
        <v>52</v>
      </c>
      <c r="V15" s="89">
        <v>4</v>
      </c>
      <c r="W15" s="90"/>
      <c r="X15" s="89">
        <v>584</v>
      </c>
    </row>
    <row r="16" spans="2:24" ht="35.1" customHeight="1" thickTop="1" thickBot="1">
      <c r="B16" s="46" t="s">
        <v>49</v>
      </c>
      <c r="C16" s="53">
        <v>596</v>
      </c>
      <c r="D16" s="54">
        <v>413</v>
      </c>
      <c r="E16" s="54">
        <v>199</v>
      </c>
      <c r="F16" s="54">
        <v>22</v>
      </c>
      <c r="G16" s="55">
        <v>88</v>
      </c>
      <c r="H16" s="50">
        <f t="shared" si="0"/>
        <v>1318</v>
      </c>
      <c r="I16" s="54">
        <f>C16/247*100</f>
        <v>241.29554655870447</v>
      </c>
      <c r="J16" s="54">
        <f>D16/218*100</f>
        <v>189.44954128440367</v>
      </c>
      <c r="K16" s="54">
        <f>E16/184*100</f>
        <v>108.15217391304348</v>
      </c>
      <c r="L16" s="54">
        <f>F16/10*100</f>
        <v>220.00000000000003</v>
      </c>
      <c r="M16" s="56">
        <f>G16/67*100</f>
        <v>131.34328358208955</v>
      </c>
      <c r="N16" s="52">
        <f>H16/726*100</f>
        <v>181.54269972451792</v>
      </c>
      <c r="P16" s="58"/>
      <c r="R16" s="88" t="s">
        <v>97</v>
      </c>
      <c r="S16" s="89">
        <v>606</v>
      </c>
      <c r="T16" s="89">
        <v>442</v>
      </c>
      <c r="U16" s="89">
        <v>143</v>
      </c>
      <c r="V16" s="89">
        <v>25</v>
      </c>
      <c r="W16" s="89">
        <v>85</v>
      </c>
      <c r="X16" s="89">
        <v>1301</v>
      </c>
    </row>
    <row r="17" spans="2:24" ht="35.1" customHeight="1" thickTop="1" thickBot="1">
      <c r="B17" s="46" t="s">
        <v>98</v>
      </c>
      <c r="C17" s="53">
        <v>52</v>
      </c>
      <c r="D17" s="54">
        <v>73</v>
      </c>
      <c r="E17" s="54">
        <v>16</v>
      </c>
      <c r="F17" s="54">
        <v>16</v>
      </c>
      <c r="G17" s="55">
        <v>18</v>
      </c>
      <c r="H17" s="50">
        <f t="shared" si="0"/>
        <v>175</v>
      </c>
      <c r="I17" s="54">
        <f>C17/32*100</f>
        <v>162.5</v>
      </c>
      <c r="J17" s="54">
        <f>D17/18*100</f>
        <v>405.55555555555554</v>
      </c>
      <c r="K17" s="54">
        <f>E17/12*100</f>
        <v>133.33333333333331</v>
      </c>
      <c r="L17" s="54">
        <f>F17/10*100</f>
        <v>160</v>
      </c>
      <c r="M17" s="56">
        <f>G17/15*100</f>
        <v>120</v>
      </c>
      <c r="N17" s="52">
        <f>H17/87*100</f>
        <v>201.14942528735634</v>
      </c>
      <c r="P17" s="57"/>
      <c r="R17" s="88" t="s">
        <v>99</v>
      </c>
      <c r="S17" s="89">
        <v>37</v>
      </c>
      <c r="T17" s="89">
        <v>24</v>
      </c>
      <c r="U17" s="89">
        <v>11</v>
      </c>
      <c r="V17" s="89">
        <v>11</v>
      </c>
      <c r="W17" s="89">
        <v>15</v>
      </c>
      <c r="X17" s="89">
        <v>98</v>
      </c>
    </row>
    <row r="18" spans="2:24" ht="35.1" customHeight="1" thickTop="1" thickBot="1">
      <c r="B18" s="46" t="s">
        <v>54</v>
      </c>
      <c r="C18" s="53">
        <v>163</v>
      </c>
      <c r="D18" s="54">
        <v>191</v>
      </c>
      <c r="E18" s="54">
        <v>78</v>
      </c>
      <c r="F18" s="54">
        <v>38</v>
      </c>
      <c r="G18" s="55">
        <v>60</v>
      </c>
      <c r="H18" s="50">
        <f t="shared" si="0"/>
        <v>530</v>
      </c>
      <c r="I18" s="54">
        <f>C18/125*100</f>
        <v>130.4</v>
      </c>
      <c r="J18" s="54">
        <f>D18/160*100</f>
        <v>119.37500000000001</v>
      </c>
      <c r="K18" s="54">
        <f>E18/87*100</f>
        <v>89.65517241379311</v>
      </c>
      <c r="L18" s="54">
        <f>F18/10*100</f>
        <v>380</v>
      </c>
      <c r="M18" s="56">
        <f>G18/38*100</f>
        <v>157.89473684210526</v>
      </c>
      <c r="N18" s="52">
        <f>H18/420*100</f>
        <v>126.19047619047619</v>
      </c>
      <c r="P18" s="57"/>
      <c r="R18" s="88" t="s">
        <v>100</v>
      </c>
      <c r="S18" s="89">
        <v>261</v>
      </c>
      <c r="T18" s="89">
        <v>311</v>
      </c>
      <c r="U18" s="89">
        <v>111</v>
      </c>
      <c r="V18" s="89">
        <v>55</v>
      </c>
      <c r="W18" s="89">
        <v>76</v>
      </c>
      <c r="X18" s="89">
        <v>814</v>
      </c>
    </row>
    <row r="19" spans="2:24" ht="35.1" customHeight="1" thickTop="1" thickBot="1">
      <c r="B19" s="46" t="s">
        <v>57</v>
      </c>
      <c r="C19" s="53">
        <v>50</v>
      </c>
      <c r="D19" s="54">
        <v>62</v>
      </c>
      <c r="E19" s="54">
        <v>30</v>
      </c>
      <c r="F19" s="54">
        <v>10</v>
      </c>
      <c r="G19" s="55">
        <v>12</v>
      </c>
      <c r="H19" s="50">
        <f t="shared" si="0"/>
        <v>164</v>
      </c>
      <c r="I19" s="54">
        <f>C19/23*100</f>
        <v>217.39130434782606</v>
      </c>
      <c r="J19" s="54">
        <f>D19/30*100</f>
        <v>206.66666666666669</v>
      </c>
      <c r="K19" s="54">
        <f>E19/14*100</f>
        <v>214.28571428571428</v>
      </c>
      <c r="L19" s="54">
        <f>F19/10*100</f>
        <v>100</v>
      </c>
      <c r="M19" s="56">
        <f>G19/10*100</f>
        <v>120</v>
      </c>
      <c r="N19" s="52">
        <f>H19/87*100</f>
        <v>188.50574712643677</v>
      </c>
      <c r="P19" s="57"/>
      <c r="R19" s="88" t="s">
        <v>101</v>
      </c>
      <c r="S19" s="89">
        <v>27</v>
      </c>
      <c r="T19" s="89">
        <v>38</v>
      </c>
      <c r="U19" s="89">
        <v>10</v>
      </c>
      <c r="V19" s="89">
        <v>11</v>
      </c>
      <c r="W19" s="89">
        <v>10</v>
      </c>
      <c r="X19" s="89">
        <v>96</v>
      </c>
    </row>
    <row r="20" spans="2:24" ht="35.1" customHeight="1" thickTop="1" thickBot="1">
      <c r="B20" s="46" t="s">
        <v>62</v>
      </c>
      <c r="C20" s="53">
        <v>130</v>
      </c>
      <c r="D20" s="54">
        <v>141</v>
      </c>
      <c r="E20" s="54">
        <v>149</v>
      </c>
      <c r="F20" s="54">
        <v>18</v>
      </c>
      <c r="G20" s="55">
        <v>41</v>
      </c>
      <c r="H20" s="50">
        <f t="shared" si="0"/>
        <v>479</v>
      </c>
      <c r="I20" s="54">
        <f>C20/123*100</f>
        <v>105.6910569105691</v>
      </c>
      <c r="J20" s="54">
        <f>D20/139*100</f>
        <v>101.43884892086331</v>
      </c>
      <c r="K20" s="54">
        <f>E20/131*100</f>
        <v>113.74045801526718</v>
      </c>
      <c r="L20" s="54">
        <f>F20/15*100</f>
        <v>120</v>
      </c>
      <c r="M20" s="56">
        <f>G20/26*100</f>
        <v>157.69230769230768</v>
      </c>
      <c r="N20" s="52">
        <f>H20/434*100</f>
        <v>110.36866359447004</v>
      </c>
      <c r="P20" s="57"/>
      <c r="R20" s="88" t="s">
        <v>102</v>
      </c>
      <c r="S20" s="89">
        <v>129</v>
      </c>
      <c r="T20" s="89">
        <v>145</v>
      </c>
      <c r="U20" s="89">
        <v>105</v>
      </c>
      <c r="V20" s="89">
        <v>19</v>
      </c>
      <c r="W20" s="89">
        <v>51</v>
      </c>
      <c r="X20" s="89">
        <v>449</v>
      </c>
    </row>
    <row r="21" spans="2:24" ht="35.1" customHeight="1" thickTop="1" thickBot="1">
      <c r="B21" s="46" t="s">
        <v>65</v>
      </c>
      <c r="C21" s="53">
        <v>57</v>
      </c>
      <c r="D21" s="54">
        <v>69</v>
      </c>
      <c r="E21" s="54">
        <v>102</v>
      </c>
      <c r="F21" s="54">
        <v>13</v>
      </c>
      <c r="G21" s="55">
        <v>27</v>
      </c>
      <c r="H21" s="50">
        <f>C21+D21+E21+F21+G21</f>
        <v>268</v>
      </c>
      <c r="I21" s="54">
        <f>C21/46*100</f>
        <v>123.91304347826086</v>
      </c>
      <c r="J21" s="54">
        <f>D21/53*100</f>
        <v>130.18867924528303</v>
      </c>
      <c r="K21" s="54">
        <f>E21/90*100</f>
        <v>113.33333333333333</v>
      </c>
      <c r="L21" s="54">
        <f>F21/10*100</f>
        <v>130</v>
      </c>
      <c r="M21" s="56">
        <f>G21/24*100</f>
        <v>112.5</v>
      </c>
      <c r="N21" s="52">
        <f>H21/223*100</f>
        <v>120.17937219730941</v>
      </c>
      <c r="P21" s="57"/>
      <c r="R21" s="88" t="s">
        <v>103</v>
      </c>
      <c r="S21" s="89">
        <v>58</v>
      </c>
      <c r="T21" s="89">
        <v>67</v>
      </c>
      <c r="U21" s="89">
        <v>98</v>
      </c>
      <c r="V21" s="89">
        <v>14</v>
      </c>
      <c r="W21" s="89">
        <v>26</v>
      </c>
      <c r="X21" s="89">
        <v>263</v>
      </c>
    </row>
    <row r="22" spans="2:24" ht="35.1" customHeight="1" thickTop="1" thickBot="1">
      <c r="B22" s="46" t="s">
        <v>67</v>
      </c>
      <c r="C22" s="53">
        <v>24</v>
      </c>
      <c r="D22" s="54">
        <v>21</v>
      </c>
      <c r="E22" s="54">
        <v>36</v>
      </c>
      <c r="F22" s="54">
        <v>5</v>
      </c>
      <c r="G22" s="55">
        <v>11</v>
      </c>
      <c r="H22" s="50">
        <f t="shared" si="0"/>
        <v>97</v>
      </c>
      <c r="I22" s="54">
        <f>C22/12*100</f>
        <v>200</v>
      </c>
      <c r="J22" s="54">
        <f>D22/10*100</f>
        <v>210</v>
      </c>
      <c r="K22" s="54">
        <f>E22/33*100</f>
        <v>109.09090909090908</v>
      </c>
      <c r="L22" s="54">
        <f>F22/5*100</f>
        <v>100</v>
      </c>
      <c r="M22" s="56">
        <f>G22/10*100</f>
        <v>110.00000000000001</v>
      </c>
      <c r="N22" s="52">
        <f>H22/70*100</f>
        <v>138.57142857142856</v>
      </c>
      <c r="P22" s="57"/>
      <c r="R22" s="88" t="s">
        <v>104</v>
      </c>
      <c r="S22" s="89">
        <v>29</v>
      </c>
      <c r="T22" s="89">
        <v>26</v>
      </c>
      <c r="U22" s="89">
        <v>31</v>
      </c>
      <c r="V22" s="89">
        <v>8</v>
      </c>
      <c r="W22" s="89">
        <v>10</v>
      </c>
      <c r="X22" s="89">
        <v>104</v>
      </c>
    </row>
    <row r="23" spans="2:24" ht="35.1" customHeight="1" thickTop="1" thickBot="1">
      <c r="B23" s="46" t="s">
        <v>69</v>
      </c>
      <c r="C23" s="53">
        <v>116</v>
      </c>
      <c r="D23" s="54">
        <v>86</v>
      </c>
      <c r="E23" s="54">
        <v>163</v>
      </c>
      <c r="F23" s="54">
        <v>10</v>
      </c>
      <c r="G23" s="55">
        <v>38</v>
      </c>
      <c r="H23" s="50">
        <f t="shared" si="0"/>
        <v>413</v>
      </c>
      <c r="I23" s="54">
        <f>C23/116*100</f>
        <v>100</v>
      </c>
      <c r="J23" s="54">
        <f>D23/87*100</f>
        <v>98.850574712643677</v>
      </c>
      <c r="K23" s="54">
        <f>E23/161*100</f>
        <v>101.24223602484473</v>
      </c>
      <c r="L23" s="54">
        <f>F23/10*100</f>
        <v>100</v>
      </c>
      <c r="M23" s="56">
        <f>G23/39*100</f>
        <v>97.435897435897431</v>
      </c>
      <c r="N23" s="52">
        <f>H23/413*100</f>
        <v>100</v>
      </c>
      <c r="P23" s="58"/>
      <c r="R23" s="88" t="s">
        <v>105</v>
      </c>
      <c r="S23" s="89">
        <v>117</v>
      </c>
      <c r="T23" s="89">
        <v>87</v>
      </c>
      <c r="U23" s="89">
        <v>162</v>
      </c>
      <c r="V23" s="89">
        <v>10</v>
      </c>
      <c r="W23" s="89">
        <v>40</v>
      </c>
      <c r="X23" s="89">
        <v>416</v>
      </c>
    </row>
    <row r="24" spans="2:24" ht="35.1" customHeight="1" thickTop="1" thickBot="1">
      <c r="B24" s="46" t="s">
        <v>70</v>
      </c>
      <c r="C24" s="53">
        <v>250</v>
      </c>
      <c r="D24" s="54">
        <v>403</v>
      </c>
      <c r="E24" s="54">
        <v>161</v>
      </c>
      <c r="F24" s="54">
        <v>64</v>
      </c>
      <c r="G24" s="55">
        <v>95</v>
      </c>
      <c r="H24" s="50">
        <f t="shared" si="0"/>
        <v>973</v>
      </c>
      <c r="I24" s="54">
        <f>C24/257*100</f>
        <v>97.276264591439684</v>
      </c>
      <c r="J24" s="54">
        <f>D24/356*100</f>
        <v>113.20224719101124</v>
      </c>
      <c r="K24" s="54">
        <f>E24/133*100</f>
        <v>121.05263157894737</v>
      </c>
      <c r="L24" s="54">
        <f>F24/31*100</f>
        <v>206.45161290322579</v>
      </c>
      <c r="M24" s="56">
        <f>G24/96*100</f>
        <v>98.958333333333343</v>
      </c>
      <c r="N24" s="52">
        <f>H24/873*100</f>
        <v>111.45475372279496</v>
      </c>
      <c r="P24" s="57"/>
      <c r="R24" s="88" t="s">
        <v>106</v>
      </c>
      <c r="S24" s="89">
        <v>286</v>
      </c>
      <c r="T24" s="89">
        <v>364</v>
      </c>
      <c r="U24" s="89">
        <v>135</v>
      </c>
      <c r="V24" s="89">
        <v>67</v>
      </c>
      <c r="W24" s="89">
        <v>96</v>
      </c>
      <c r="X24" s="89">
        <v>948</v>
      </c>
    </row>
    <row r="25" spans="2:24" ht="35.1" customHeight="1" thickTop="1" thickBot="1">
      <c r="B25" s="46" t="s">
        <v>72</v>
      </c>
      <c r="C25" s="53">
        <v>52</v>
      </c>
      <c r="D25" s="54">
        <v>68</v>
      </c>
      <c r="E25" s="54">
        <v>46</v>
      </c>
      <c r="F25" s="54">
        <v>13</v>
      </c>
      <c r="G25" s="55">
        <v>17</v>
      </c>
      <c r="H25" s="50">
        <f t="shared" si="0"/>
        <v>196</v>
      </c>
      <c r="I25" s="54">
        <f>C25/43*100</f>
        <v>120.93023255813952</v>
      </c>
      <c r="J25" s="54">
        <f>D25/46*100</f>
        <v>147.82608695652172</v>
      </c>
      <c r="K25" s="54">
        <f>E25/30*100</f>
        <v>153.33333333333334</v>
      </c>
      <c r="L25" s="54">
        <f>F25/10*100</f>
        <v>130</v>
      </c>
      <c r="M25" s="56">
        <f>G25/16*100</f>
        <v>106.25</v>
      </c>
      <c r="N25" s="52">
        <f>H25/145*100</f>
        <v>135.17241379310346</v>
      </c>
      <c r="P25" s="57"/>
      <c r="R25" s="88" t="s">
        <v>107</v>
      </c>
      <c r="S25" s="89">
        <v>57</v>
      </c>
      <c r="T25" s="89">
        <v>81</v>
      </c>
      <c r="U25" s="89">
        <v>34</v>
      </c>
      <c r="V25" s="89">
        <v>12</v>
      </c>
      <c r="W25" s="89">
        <v>16</v>
      </c>
      <c r="X25" s="89">
        <v>200</v>
      </c>
    </row>
    <row r="26" spans="2:24" ht="35.1" customHeight="1" thickTop="1" thickBot="1">
      <c r="B26" s="46" t="s">
        <v>74</v>
      </c>
      <c r="C26" s="53">
        <v>577</v>
      </c>
      <c r="D26" s="54">
        <v>336</v>
      </c>
      <c r="E26" s="54">
        <v>150</v>
      </c>
      <c r="F26" s="54">
        <v>23</v>
      </c>
      <c r="G26" s="55">
        <v>134</v>
      </c>
      <c r="H26" s="50">
        <f t="shared" si="0"/>
        <v>1220</v>
      </c>
      <c r="I26" s="54">
        <f>C26/477*100</f>
        <v>120.9643605870021</v>
      </c>
      <c r="J26" s="54">
        <f>D26/209*100</f>
        <v>160.76555023923444</v>
      </c>
      <c r="K26" s="54">
        <f>E26/123*100</f>
        <v>121.95121951219512</v>
      </c>
      <c r="L26" s="54">
        <f>F26/12*100</f>
        <v>191.66666666666669</v>
      </c>
      <c r="M26" s="56">
        <f>G26/109*100</f>
        <v>122.93577981651376</v>
      </c>
      <c r="N26" s="52">
        <f>H26/930*100</f>
        <v>131.18279569892474</v>
      </c>
      <c r="P26" s="57"/>
      <c r="R26" s="88" t="s">
        <v>108</v>
      </c>
      <c r="S26" s="89">
        <v>614</v>
      </c>
      <c r="T26" s="89">
        <v>458</v>
      </c>
      <c r="U26" s="89">
        <v>133</v>
      </c>
      <c r="V26" s="89">
        <v>29</v>
      </c>
      <c r="W26" s="89">
        <v>120</v>
      </c>
      <c r="X26" s="89">
        <v>1354</v>
      </c>
    </row>
    <row r="27" spans="2:24" ht="35.1" customHeight="1" thickTop="1" thickBot="1">
      <c r="B27" s="46" t="s">
        <v>76</v>
      </c>
      <c r="C27" s="53">
        <v>84</v>
      </c>
      <c r="D27" s="54">
        <v>74</v>
      </c>
      <c r="E27" s="54">
        <v>92</v>
      </c>
      <c r="F27" s="54">
        <v>16</v>
      </c>
      <c r="G27" s="55">
        <v>39</v>
      </c>
      <c r="H27" s="50">
        <f t="shared" si="0"/>
        <v>305</v>
      </c>
      <c r="I27" s="54">
        <f>C27/90*100</f>
        <v>93.333333333333329</v>
      </c>
      <c r="J27" s="54">
        <f>D27/71*100</f>
        <v>104.22535211267605</v>
      </c>
      <c r="K27" s="54">
        <f>E27/89*100</f>
        <v>103.37078651685394</v>
      </c>
      <c r="L27" s="54">
        <f>F27/15*100</f>
        <v>106.66666666666667</v>
      </c>
      <c r="M27" s="56">
        <f>G27/38*100</f>
        <v>102.63157894736842</v>
      </c>
      <c r="N27" s="52">
        <f>H27/303*100</f>
        <v>100.66006600660067</v>
      </c>
      <c r="P27" s="57"/>
      <c r="R27" s="88" t="s">
        <v>109</v>
      </c>
      <c r="S27" s="89">
        <v>90</v>
      </c>
      <c r="T27" s="89">
        <v>70</v>
      </c>
      <c r="U27" s="89">
        <v>92</v>
      </c>
      <c r="V27" s="89">
        <v>16</v>
      </c>
      <c r="W27" s="89">
        <v>39</v>
      </c>
      <c r="X27" s="89">
        <v>307</v>
      </c>
    </row>
    <row r="28" spans="2:24" ht="35.1" customHeight="1" thickTop="1" thickBot="1">
      <c r="B28" s="46" t="s">
        <v>78</v>
      </c>
      <c r="C28" s="53">
        <v>49</v>
      </c>
      <c r="D28" s="54">
        <v>10</v>
      </c>
      <c r="E28" s="54">
        <v>7</v>
      </c>
      <c r="F28" s="54">
        <v>7</v>
      </c>
      <c r="G28" s="55">
        <v>14</v>
      </c>
      <c r="H28" s="50">
        <f t="shared" si="0"/>
        <v>87</v>
      </c>
      <c r="I28" s="54">
        <f>C28/47*100</f>
        <v>104.25531914893618</v>
      </c>
      <c r="J28" s="54">
        <f>D28/10*100</f>
        <v>100</v>
      </c>
      <c r="K28" s="54">
        <f>E28/5*100</f>
        <v>140</v>
      </c>
      <c r="L28" s="54">
        <f>F28/5*100</f>
        <v>140</v>
      </c>
      <c r="M28" s="56">
        <f>G28/13*100</f>
        <v>107.69230769230769</v>
      </c>
      <c r="N28" s="52">
        <f>H28/80*100</f>
        <v>108.74999999999999</v>
      </c>
      <c r="P28" s="58"/>
      <c r="R28" s="88" t="s">
        <v>110</v>
      </c>
      <c r="S28" s="89">
        <v>51</v>
      </c>
      <c r="T28" s="89">
        <v>16</v>
      </c>
      <c r="U28" s="89">
        <v>6</v>
      </c>
      <c r="V28" s="89">
        <v>7</v>
      </c>
      <c r="W28" s="89">
        <v>13</v>
      </c>
      <c r="X28" s="89">
        <v>93</v>
      </c>
    </row>
    <row r="29" spans="2:24" ht="35.1" customHeight="1" thickTop="1" thickBot="1">
      <c r="B29" s="46" t="s">
        <v>79</v>
      </c>
      <c r="C29" s="53">
        <v>23</v>
      </c>
      <c r="D29" s="54">
        <v>22</v>
      </c>
      <c r="E29" s="54">
        <v>73</v>
      </c>
      <c r="F29" s="54">
        <v>10</v>
      </c>
      <c r="G29" s="55">
        <v>12</v>
      </c>
      <c r="H29" s="50">
        <f t="shared" si="0"/>
        <v>140</v>
      </c>
      <c r="I29" s="54">
        <f>C29/19*100</f>
        <v>121.05263157894737</v>
      </c>
      <c r="J29" s="54">
        <f>D29/18*100</f>
        <v>122.22222222222223</v>
      </c>
      <c r="K29" s="54">
        <f>E29/58*100</f>
        <v>125.86206896551724</v>
      </c>
      <c r="L29" s="54">
        <f>F29/10*100</f>
        <v>100</v>
      </c>
      <c r="M29" s="56">
        <f>G29/12*100</f>
        <v>100</v>
      </c>
      <c r="N29" s="52">
        <f>H29/117*100</f>
        <v>119.65811965811966</v>
      </c>
      <c r="P29" s="57"/>
      <c r="R29" s="88" t="s">
        <v>111</v>
      </c>
      <c r="S29" s="89">
        <v>21</v>
      </c>
      <c r="T29" s="89">
        <v>16</v>
      </c>
      <c r="U29" s="89">
        <v>57</v>
      </c>
      <c r="V29" s="89">
        <v>10</v>
      </c>
      <c r="W29" s="89">
        <v>12</v>
      </c>
      <c r="X29" s="89">
        <v>116</v>
      </c>
    </row>
    <row r="30" spans="2:24" ht="35.1" customHeight="1" thickTop="1" thickBot="1">
      <c r="B30" s="46" t="s">
        <v>80</v>
      </c>
      <c r="C30" s="53">
        <v>11</v>
      </c>
      <c r="D30" s="54">
        <v>11</v>
      </c>
      <c r="E30" s="54">
        <v>7</v>
      </c>
      <c r="F30" s="54">
        <v>0</v>
      </c>
      <c r="G30" s="55">
        <v>1</v>
      </c>
      <c r="H30" s="50">
        <f t="shared" si="0"/>
        <v>30</v>
      </c>
      <c r="I30" s="54">
        <f>C30/10*100</f>
        <v>110.00000000000001</v>
      </c>
      <c r="J30" s="54">
        <f>D30/5*100</f>
        <v>220.00000000000003</v>
      </c>
      <c r="K30" s="54">
        <f>E30/5*100</f>
        <v>140</v>
      </c>
      <c r="L30" s="54">
        <f>F30/5*100</f>
        <v>0</v>
      </c>
      <c r="M30" s="56">
        <f>G30/10*100</f>
        <v>10</v>
      </c>
      <c r="N30" s="52">
        <f>H30/35*100</f>
        <v>85.714285714285708</v>
      </c>
      <c r="P30" s="57"/>
      <c r="R30" s="88" t="s">
        <v>112</v>
      </c>
      <c r="S30" s="89">
        <v>14</v>
      </c>
      <c r="T30" s="89">
        <v>8</v>
      </c>
      <c r="U30" s="89">
        <v>1</v>
      </c>
      <c r="V30" s="90"/>
      <c r="W30" s="90"/>
      <c r="X30" s="89">
        <v>23</v>
      </c>
    </row>
    <row r="31" spans="2:24" ht="35.1" customHeight="1" thickTop="1" thickBot="1">
      <c r="B31" s="46" t="s">
        <v>82</v>
      </c>
      <c r="C31" s="61">
        <v>218</v>
      </c>
      <c r="D31" s="62">
        <v>154</v>
      </c>
      <c r="E31" s="62">
        <v>86</v>
      </c>
      <c r="F31" s="62">
        <v>23</v>
      </c>
      <c r="G31" s="63">
        <v>104</v>
      </c>
      <c r="H31" s="50">
        <f t="shared" si="0"/>
        <v>585</v>
      </c>
      <c r="I31" s="62">
        <f>C31/213*100</f>
        <v>102.34741784037557</v>
      </c>
      <c r="J31" s="62">
        <f>D31/123*100</f>
        <v>125.20325203252031</v>
      </c>
      <c r="K31" s="62">
        <f>E31/62*100</f>
        <v>138.70967741935485</v>
      </c>
      <c r="L31" s="62">
        <f>F31/15*100</f>
        <v>153.33333333333334</v>
      </c>
      <c r="M31" s="64">
        <f>G31/84*100</f>
        <v>123.80952380952381</v>
      </c>
      <c r="N31" s="65">
        <f>H31/497*100</f>
        <v>117.70623742454728</v>
      </c>
      <c r="P31" s="57"/>
      <c r="R31" s="88" t="s">
        <v>113</v>
      </c>
      <c r="S31" s="89">
        <v>233</v>
      </c>
      <c r="T31" s="89">
        <v>174</v>
      </c>
      <c r="U31" s="89">
        <v>66</v>
      </c>
      <c r="V31" s="89">
        <v>31</v>
      </c>
      <c r="W31" s="89">
        <v>93</v>
      </c>
      <c r="X31" s="89">
        <v>597</v>
      </c>
    </row>
    <row r="32" spans="2:24" ht="69.75" customHeight="1" thickTop="1" thickBot="1">
      <c r="B32" s="66" t="s">
        <v>83</v>
      </c>
      <c r="C32" s="67">
        <f>SUM(C11:C31)</f>
        <v>3146</v>
      </c>
      <c r="D32" s="68">
        <f>SUM(D11:D31)</f>
        <v>2752</v>
      </c>
      <c r="E32" s="69">
        <f>SUM(E11:E31)</f>
        <v>1687</v>
      </c>
      <c r="F32" s="70">
        <f>SUM(F11:F31)</f>
        <v>392</v>
      </c>
      <c r="G32" s="71">
        <f>SUM(G11:G31)</f>
        <v>858</v>
      </c>
      <c r="H32" s="72">
        <f t="shared" ref="H32" si="1">C32+D32+E32+F32+G32</f>
        <v>8835</v>
      </c>
      <c r="I32" s="73">
        <f>C32/2361*100</f>
        <v>133.24862346463362</v>
      </c>
      <c r="J32" s="74">
        <f>D32/2009*100</f>
        <v>136.98357391737184</v>
      </c>
      <c r="K32" s="75">
        <f>E32/1406*100</f>
        <v>119.98577524893315</v>
      </c>
      <c r="L32" s="76">
        <f>F32/237*100</f>
        <v>165.40084388185653</v>
      </c>
      <c r="M32" s="77">
        <f>G32/712*100</f>
        <v>120.50561797752808</v>
      </c>
      <c r="N32" s="78">
        <f>H32/6725*100</f>
        <v>131.37546468401487</v>
      </c>
      <c r="P32" s="57"/>
    </row>
    <row r="33" spans="1:16" ht="19.5" customHeight="1" thickTop="1">
      <c r="B33" s="378"/>
      <c r="C33" s="379"/>
      <c r="D33" s="379"/>
      <c r="E33" s="379"/>
      <c r="F33" s="379"/>
      <c r="G33" s="379"/>
      <c r="H33" s="379"/>
      <c r="I33" s="378"/>
      <c r="J33" s="378"/>
      <c r="K33" s="378"/>
      <c r="L33" s="378"/>
      <c r="M33" s="378"/>
      <c r="N33" s="378"/>
      <c r="O33" s="79"/>
      <c r="P33" s="58"/>
    </row>
    <row r="34" spans="1:16" ht="19.5" customHeight="1">
      <c r="A34" s="80" t="s">
        <v>114</v>
      </c>
      <c r="B34" s="81"/>
      <c r="C34" s="82"/>
      <c r="D34" s="82"/>
      <c r="E34" s="82"/>
      <c r="F34" s="82"/>
      <c r="G34" s="82"/>
      <c r="H34" s="91"/>
      <c r="I34" s="82"/>
      <c r="J34" s="82"/>
      <c r="K34" s="82"/>
      <c r="L34" s="82"/>
      <c r="M34" s="82"/>
      <c r="N34" s="82"/>
      <c r="O34" s="79"/>
      <c r="P34" s="58"/>
    </row>
    <row r="35" spans="1:16" s="83" customFormat="1" ht="15" customHeight="1">
      <c r="A35" s="80" t="s">
        <v>180</v>
      </c>
      <c r="B35" s="84"/>
      <c r="O35" s="32"/>
    </row>
    <row r="36" spans="1:16" ht="35.25">
      <c r="B36" s="380" t="s">
        <v>115</v>
      </c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</row>
    <row r="37" spans="1:16" ht="26.25">
      <c r="B37" s="85"/>
      <c r="C37" s="86"/>
      <c r="D37" s="86"/>
      <c r="E37" s="86"/>
      <c r="F37" s="86"/>
      <c r="G37" s="86"/>
      <c r="H37" s="86"/>
    </row>
    <row r="38" spans="1:16" ht="26.25">
      <c r="B38" s="85"/>
    </row>
    <row r="39" spans="1:16" ht="26.25">
      <c r="B39" s="85"/>
    </row>
    <row r="40" spans="1:16" ht="26.25">
      <c r="B40" s="85"/>
    </row>
    <row r="41" spans="1:16" ht="26.25">
      <c r="B41" s="85"/>
    </row>
    <row r="58" spans="2:8" ht="12.75">
      <c r="B58" s="381"/>
      <c r="C58" s="381"/>
      <c r="D58" s="381"/>
      <c r="E58" s="381"/>
      <c r="F58" s="381"/>
      <c r="G58" s="381"/>
      <c r="H58" s="381"/>
    </row>
  </sheetData>
  <sheetProtection selectLockedCells="1" selectUnlockedCells="1"/>
  <mergeCells count="11">
    <mergeCell ref="B33:N33"/>
    <mergeCell ref="B36:N36"/>
    <mergeCell ref="B58:H58"/>
    <mergeCell ref="B1:N1"/>
    <mergeCell ref="B2:N2"/>
    <mergeCell ref="B3:N3"/>
    <mergeCell ref="B4:N4"/>
    <mergeCell ref="B7:N7"/>
    <mergeCell ref="B9:B10"/>
    <mergeCell ref="C9:H9"/>
    <mergeCell ref="I9:N9"/>
  </mergeCells>
  <printOptions horizontalCentered="1"/>
  <pageMargins left="0.23622047244094491" right="0.23622047244094491" top="0.98425196850393704" bottom="0.51181102362204722" header="0.51181102362204722" footer="0.51181102362204722"/>
  <pageSetup paperSize="9" scale="32" firstPageNumber="0" orientation="portrait" verticalDpi="300" r:id="rId1"/>
  <headerFooter scaleWithDoc="0" alignWithMargins="0">
    <oddFooter>&amp;R&amp;"Verdana,Normale"&amp;8MINISTERO DELLA SALUTEDirezione Generale per l'Igiene e la Sicurezza degli Alimenti e la NutrizionePagina 76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7"/>
  <sheetViews>
    <sheetView view="pageBreakPreview" zoomScale="46" zoomScaleNormal="70" zoomScaleSheetLayoutView="46" workbookViewId="0">
      <selection activeCell="I7" sqref="I7"/>
    </sheetView>
  </sheetViews>
  <sheetFormatPr defaultColWidth="9.140625" defaultRowHeight="12.75"/>
  <cols>
    <col min="1" max="1" width="34.85546875" style="32" customWidth="1"/>
    <col min="2" max="2" width="25.5703125" style="32" customWidth="1"/>
    <col min="3" max="3" width="18" style="32" customWidth="1"/>
    <col min="4" max="4" width="21" style="32" customWidth="1"/>
    <col min="5" max="5" width="20.7109375" style="32" customWidth="1"/>
    <col min="6" max="6" width="20.28515625" style="32" customWidth="1"/>
    <col min="7" max="7" width="20.7109375" style="32" customWidth="1"/>
    <col min="8" max="9" width="22" style="32" customWidth="1"/>
    <col min="10" max="10" width="9.140625" style="32"/>
    <col min="11" max="11" width="12" style="32" customWidth="1"/>
    <col min="12" max="12" width="25.85546875" style="32" customWidth="1"/>
    <col min="13" max="13" width="30.28515625" style="32" customWidth="1"/>
    <col min="14" max="14" width="13.85546875" style="32" customWidth="1"/>
    <col min="15" max="16384" width="9.140625" style="32"/>
  </cols>
  <sheetData>
    <row r="1" spans="1:39" ht="54" customHeight="1">
      <c r="A1" s="389" t="s">
        <v>136</v>
      </c>
      <c r="B1" s="389"/>
      <c r="C1" s="389"/>
      <c r="D1" s="389"/>
      <c r="E1" s="389"/>
      <c r="F1" s="389"/>
      <c r="G1" s="389"/>
      <c r="H1" s="389"/>
      <c r="I1" s="151"/>
    </row>
    <row r="2" spans="1:39" ht="30">
      <c r="A2" s="390" t="s">
        <v>132</v>
      </c>
      <c r="B2" s="390"/>
      <c r="C2" s="390"/>
      <c r="D2" s="390"/>
      <c r="E2" s="390"/>
      <c r="F2" s="390"/>
      <c r="G2" s="390"/>
      <c r="H2" s="390"/>
      <c r="I2" s="152"/>
    </row>
    <row r="3" spans="1:39" ht="30">
      <c r="A3" s="390">
        <v>2019</v>
      </c>
      <c r="B3" s="390"/>
      <c r="C3" s="390"/>
      <c r="D3" s="390"/>
      <c r="E3" s="390"/>
      <c r="F3" s="390"/>
      <c r="G3" s="390"/>
      <c r="H3" s="390"/>
      <c r="I3" s="152"/>
    </row>
    <row r="4" spans="1:39" ht="30">
      <c r="A4" s="152"/>
      <c r="B4" s="152"/>
      <c r="C4" s="152"/>
      <c r="D4" s="152"/>
      <c r="E4" s="152"/>
      <c r="F4" s="152"/>
      <c r="G4" s="152"/>
      <c r="H4" s="152"/>
      <c r="I4" s="152"/>
    </row>
    <row r="5" spans="1:39" ht="21" customHeight="1" thickBot="1">
      <c r="A5" s="391" t="s">
        <v>137</v>
      </c>
      <c r="B5" s="391"/>
      <c r="C5" s="391"/>
      <c r="D5" s="391"/>
      <c r="E5" s="391"/>
      <c r="F5" s="391"/>
      <c r="G5" s="391"/>
      <c r="H5" s="391"/>
      <c r="I5" s="153"/>
    </row>
    <row r="6" spans="1:39" ht="21" customHeight="1" thickTop="1" thickBot="1">
      <c r="B6" s="392" t="s">
        <v>1</v>
      </c>
      <c r="C6" s="394" t="s">
        <v>2</v>
      </c>
      <c r="D6" s="394"/>
      <c r="E6" s="394"/>
      <c r="F6" s="394"/>
      <c r="G6" s="395" t="s">
        <v>3</v>
      </c>
      <c r="H6" s="397" t="s">
        <v>4</v>
      </c>
      <c r="I6" s="154"/>
    </row>
    <row r="7" spans="1:39" ht="65.25" customHeight="1" thickTop="1" thickBot="1">
      <c r="B7" s="393"/>
      <c r="C7" s="155" t="s">
        <v>133</v>
      </c>
      <c r="D7" s="156" t="s">
        <v>134</v>
      </c>
      <c r="E7" s="157" t="s">
        <v>7</v>
      </c>
      <c r="F7" s="158" t="s">
        <v>8</v>
      </c>
      <c r="G7" s="396"/>
      <c r="H7" s="397"/>
      <c r="I7" s="154"/>
      <c r="K7" s="263"/>
      <c r="L7" s="263"/>
      <c r="M7" s="263"/>
      <c r="N7" s="263"/>
      <c r="O7" s="270"/>
      <c r="P7" s="270"/>
      <c r="Q7" s="270"/>
      <c r="R7" s="159"/>
      <c r="U7" s="160"/>
      <c r="V7" s="161"/>
      <c r="W7" s="162"/>
      <c r="Z7" s="161"/>
      <c r="AA7" s="162"/>
      <c r="AH7" s="163"/>
      <c r="AI7" s="163"/>
      <c r="AJ7" s="163"/>
      <c r="AK7" s="163"/>
      <c r="AL7" s="163"/>
      <c r="AM7" s="163"/>
    </row>
    <row r="8" spans="1:39" ht="49.5" customHeight="1" thickBot="1">
      <c r="A8" s="164" t="s">
        <v>223</v>
      </c>
      <c r="B8" s="271">
        <v>1</v>
      </c>
      <c r="C8" s="272">
        <v>1</v>
      </c>
      <c r="D8" s="273">
        <v>100</v>
      </c>
      <c r="E8" s="272">
        <v>0</v>
      </c>
      <c r="F8" s="273">
        <v>0</v>
      </c>
      <c r="G8" s="272">
        <v>0</v>
      </c>
      <c r="H8" s="274">
        <v>0</v>
      </c>
      <c r="I8" s="165">
        <f>D8+F8+H8</f>
        <v>100</v>
      </c>
      <c r="J8" s="106">
        <f t="shared" ref="J8:J20" si="0">C8+E8+G8</f>
        <v>1</v>
      </c>
      <c r="K8" s="264"/>
      <c r="L8" s="264"/>
      <c r="M8" s="264"/>
      <c r="N8" s="265"/>
      <c r="O8" s="265"/>
      <c r="P8" s="265"/>
      <c r="Q8" s="266"/>
      <c r="R8" s="167"/>
      <c r="U8" s="160"/>
      <c r="V8" s="161"/>
      <c r="W8" s="162"/>
      <c r="Z8" s="161"/>
      <c r="AA8" s="162"/>
      <c r="AH8" s="168"/>
      <c r="AI8" s="169"/>
      <c r="AJ8" s="168"/>
      <c r="AK8" s="169"/>
      <c r="AL8" s="169"/>
      <c r="AM8" s="169"/>
    </row>
    <row r="9" spans="1:39" ht="49.5" customHeight="1" thickBot="1">
      <c r="A9" s="170" t="s">
        <v>224</v>
      </c>
      <c r="B9" s="275">
        <v>2</v>
      </c>
      <c r="C9" s="276">
        <v>2</v>
      </c>
      <c r="D9" s="273">
        <v>100</v>
      </c>
      <c r="E9" s="276">
        <v>0</v>
      </c>
      <c r="F9" s="273">
        <v>0</v>
      </c>
      <c r="G9" s="272">
        <v>0</v>
      </c>
      <c r="H9" s="274">
        <v>0</v>
      </c>
      <c r="I9" s="165">
        <f t="shared" ref="I9:I65" si="1">D9+F9+H9</f>
        <v>100</v>
      </c>
      <c r="J9" s="106">
        <f t="shared" si="0"/>
        <v>2</v>
      </c>
      <c r="K9" s="264"/>
      <c r="L9" s="264"/>
      <c r="M9" s="264"/>
      <c r="N9" s="265"/>
      <c r="O9" s="265"/>
      <c r="P9" s="265"/>
      <c r="Q9" s="266"/>
      <c r="R9" s="171"/>
      <c r="U9" s="160"/>
      <c r="V9" s="161"/>
      <c r="W9" s="162"/>
      <c r="Z9" s="161"/>
      <c r="AA9" s="162"/>
      <c r="AH9" s="168"/>
      <c r="AI9" s="169"/>
      <c r="AJ9" s="168"/>
      <c r="AK9" s="169"/>
      <c r="AL9" s="169"/>
      <c r="AM9" s="172"/>
    </row>
    <row r="10" spans="1:39" ht="49.5" customHeight="1" thickBot="1">
      <c r="A10" s="164" t="s">
        <v>225</v>
      </c>
      <c r="B10" s="275">
        <v>44</v>
      </c>
      <c r="C10" s="276">
        <v>38</v>
      </c>
      <c r="D10" s="273">
        <v>86.4</v>
      </c>
      <c r="E10" s="276">
        <v>6</v>
      </c>
      <c r="F10" s="273">
        <v>13.6</v>
      </c>
      <c r="G10" s="272">
        <v>0</v>
      </c>
      <c r="H10" s="274">
        <v>0</v>
      </c>
      <c r="I10" s="165">
        <f t="shared" si="1"/>
        <v>100</v>
      </c>
      <c r="J10" s="106">
        <f t="shared" si="0"/>
        <v>44</v>
      </c>
      <c r="K10" s="264"/>
      <c r="L10" s="264"/>
      <c r="M10" s="264"/>
      <c r="N10" s="265"/>
      <c r="O10" s="265"/>
      <c r="P10" s="265"/>
      <c r="Q10" s="266"/>
      <c r="R10" s="171"/>
      <c r="U10" s="160"/>
      <c r="V10" s="161"/>
      <c r="W10" s="162"/>
      <c r="Z10" s="161"/>
      <c r="AA10" s="162"/>
      <c r="AH10" s="168"/>
      <c r="AI10" s="169"/>
      <c r="AJ10" s="168"/>
      <c r="AK10" s="169"/>
      <c r="AL10" s="169"/>
      <c r="AM10" s="172"/>
    </row>
    <row r="11" spans="1:39" ht="49.5" customHeight="1" thickBot="1">
      <c r="A11" s="170" t="s">
        <v>226</v>
      </c>
      <c r="B11" s="275">
        <v>8</v>
      </c>
      <c r="C11" s="276">
        <v>8</v>
      </c>
      <c r="D11" s="273">
        <v>100</v>
      </c>
      <c r="E11" s="276">
        <v>0</v>
      </c>
      <c r="F11" s="273">
        <v>0</v>
      </c>
      <c r="G11" s="272">
        <v>0</v>
      </c>
      <c r="H11" s="274">
        <v>0</v>
      </c>
      <c r="I11" s="165">
        <f t="shared" si="1"/>
        <v>100</v>
      </c>
      <c r="J11" s="106">
        <f t="shared" si="0"/>
        <v>8</v>
      </c>
      <c r="K11" s="264"/>
      <c r="L11" s="264"/>
      <c r="M11" s="264"/>
      <c r="N11" s="264"/>
      <c r="O11" s="264"/>
      <c r="P11" s="264"/>
      <c r="Q11" s="264"/>
      <c r="R11" s="264"/>
      <c r="S11" s="264"/>
      <c r="U11" s="160"/>
      <c r="V11" s="161"/>
      <c r="W11" s="162"/>
      <c r="Z11" s="161"/>
      <c r="AA11" s="162"/>
      <c r="AH11" s="168"/>
      <c r="AI11" s="169"/>
      <c r="AJ11" s="168"/>
      <c r="AK11" s="169"/>
      <c r="AL11" s="169"/>
      <c r="AM11" s="172"/>
    </row>
    <row r="12" spans="1:39" ht="49.5" customHeight="1" thickBot="1">
      <c r="A12" s="164" t="s">
        <v>227</v>
      </c>
      <c r="B12" s="275">
        <v>124</v>
      </c>
      <c r="C12" s="276">
        <v>114</v>
      </c>
      <c r="D12" s="273">
        <v>91.9</v>
      </c>
      <c r="E12" s="276">
        <v>10</v>
      </c>
      <c r="F12" s="273">
        <v>8.1</v>
      </c>
      <c r="G12" s="272">
        <v>0</v>
      </c>
      <c r="H12" s="274">
        <v>0</v>
      </c>
      <c r="I12" s="165">
        <f t="shared" si="1"/>
        <v>100</v>
      </c>
      <c r="J12" s="106">
        <f t="shared" si="0"/>
        <v>124</v>
      </c>
      <c r="K12" s="264"/>
      <c r="L12" s="264"/>
      <c r="M12" s="264"/>
      <c r="N12" s="264"/>
      <c r="O12" s="264"/>
      <c r="P12" s="264"/>
      <c r="Q12" s="264"/>
      <c r="R12" s="264"/>
      <c r="S12" s="264"/>
      <c r="U12" s="160"/>
      <c r="V12" s="161"/>
      <c r="W12" s="162"/>
      <c r="Z12" s="161"/>
      <c r="AA12" s="162"/>
      <c r="AH12" s="168"/>
      <c r="AI12" s="169"/>
      <c r="AJ12" s="168"/>
      <c r="AK12" s="169"/>
      <c r="AL12" s="169"/>
      <c r="AM12" s="169"/>
    </row>
    <row r="13" spans="1:39" ht="49.5" customHeight="1" thickBot="1">
      <c r="A13" s="170" t="s">
        <v>228</v>
      </c>
      <c r="B13" s="277">
        <v>9</v>
      </c>
      <c r="C13" s="278">
        <v>9</v>
      </c>
      <c r="D13" s="273">
        <v>100</v>
      </c>
      <c r="E13" s="278">
        <v>0</v>
      </c>
      <c r="F13" s="273">
        <v>0</v>
      </c>
      <c r="G13" s="272">
        <v>0</v>
      </c>
      <c r="H13" s="274">
        <v>0</v>
      </c>
      <c r="I13" s="165">
        <f t="shared" si="1"/>
        <v>100</v>
      </c>
      <c r="J13" s="106">
        <f t="shared" si="0"/>
        <v>9</v>
      </c>
      <c r="K13" s="264"/>
      <c r="L13" s="264"/>
      <c r="M13" s="264"/>
      <c r="N13" s="264"/>
      <c r="O13" s="264"/>
      <c r="P13" s="264"/>
      <c r="Q13" s="264"/>
      <c r="R13" s="264"/>
      <c r="S13" s="264"/>
      <c r="U13" s="160"/>
      <c r="V13" s="161"/>
      <c r="W13" s="162"/>
      <c r="Z13" s="161"/>
      <c r="AA13" s="162"/>
      <c r="AH13" s="168"/>
      <c r="AI13" s="169"/>
      <c r="AJ13" s="168"/>
      <c r="AK13" s="169"/>
      <c r="AL13" s="172"/>
      <c r="AM13" s="172"/>
    </row>
    <row r="14" spans="1:39" ht="49.5" customHeight="1" thickBot="1">
      <c r="A14" s="164" t="s">
        <v>229</v>
      </c>
      <c r="B14" s="277">
        <v>2</v>
      </c>
      <c r="C14" s="278">
        <v>2</v>
      </c>
      <c r="D14" s="273">
        <v>100</v>
      </c>
      <c r="E14" s="278">
        <v>0</v>
      </c>
      <c r="F14" s="273">
        <v>0</v>
      </c>
      <c r="G14" s="272">
        <v>0</v>
      </c>
      <c r="H14" s="274">
        <v>0</v>
      </c>
      <c r="I14" s="165">
        <f t="shared" si="1"/>
        <v>100</v>
      </c>
      <c r="J14" s="106">
        <f t="shared" si="0"/>
        <v>2</v>
      </c>
      <c r="K14" s="264"/>
      <c r="L14" s="264"/>
      <c r="M14" s="264"/>
      <c r="N14" s="264"/>
      <c r="O14" s="264"/>
      <c r="P14" s="264"/>
      <c r="Q14" s="264"/>
      <c r="R14" s="264"/>
      <c r="S14" s="264"/>
      <c r="U14" s="160"/>
      <c r="V14" s="161"/>
      <c r="W14" s="162"/>
      <c r="Z14" s="161"/>
      <c r="AA14" s="174"/>
      <c r="AH14" s="168"/>
      <c r="AI14" s="169"/>
      <c r="AJ14" s="168"/>
      <c r="AK14" s="169"/>
      <c r="AL14" s="172"/>
      <c r="AM14" s="172"/>
    </row>
    <row r="15" spans="1:39" ht="49.5" customHeight="1" thickBot="1">
      <c r="A15" s="175" t="s">
        <v>230</v>
      </c>
      <c r="B15" s="277">
        <v>6</v>
      </c>
      <c r="C15" s="278">
        <v>6</v>
      </c>
      <c r="D15" s="273">
        <v>100</v>
      </c>
      <c r="E15" s="278">
        <v>0</v>
      </c>
      <c r="F15" s="273">
        <v>0</v>
      </c>
      <c r="G15" s="272">
        <v>0</v>
      </c>
      <c r="H15" s="274">
        <v>0</v>
      </c>
      <c r="I15" s="165">
        <f t="shared" si="1"/>
        <v>100</v>
      </c>
      <c r="J15" s="106">
        <f t="shared" si="0"/>
        <v>6</v>
      </c>
      <c r="K15" s="264"/>
      <c r="L15" s="264"/>
      <c r="M15" s="264"/>
      <c r="N15" s="264"/>
      <c r="O15" s="264"/>
      <c r="P15" s="264"/>
      <c r="Q15" s="264"/>
      <c r="R15" s="264"/>
      <c r="S15" s="264"/>
      <c r="U15" s="168"/>
      <c r="V15" s="169"/>
      <c r="W15" s="168"/>
      <c r="X15" s="169"/>
      <c r="Z15" s="169"/>
      <c r="AA15" s="172"/>
      <c r="AH15" s="168"/>
      <c r="AI15" s="169"/>
      <c r="AJ15" s="168"/>
      <c r="AK15" s="169"/>
      <c r="AL15" s="169"/>
      <c r="AM15" s="172"/>
    </row>
    <row r="16" spans="1:39" ht="49.5" customHeight="1" thickBot="1">
      <c r="A16" s="164" t="s">
        <v>231</v>
      </c>
      <c r="B16" s="277">
        <v>1</v>
      </c>
      <c r="C16" s="278">
        <v>1</v>
      </c>
      <c r="D16" s="273">
        <v>100</v>
      </c>
      <c r="E16" s="278">
        <v>0</v>
      </c>
      <c r="F16" s="273">
        <v>0</v>
      </c>
      <c r="G16" s="272">
        <v>0</v>
      </c>
      <c r="H16" s="274">
        <v>0</v>
      </c>
      <c r="I16" s="165">
        <f t="shared" si="1"/>
        <v>100</v>
      </c>
      <c r="J16" s="106">
        <f t="shared" si="0"/>
        <v>1</v>
      </c>
      <c r="K16" s="264"/>
      <c r="L16" s="264"/>
      <c r="M16" s="264"/>
      <c r="N16" s="264"/>
      <c r="O16" s="264"/>
      <c r="P16" s="264"/>
      <c r="Q16" s="264"/>
      <c r="R16" s="264"/>
      <c r="S16" s="264"/>
      <c r="U16" s="168"/>
      <c r="V16" s="169"/>
      <c r="W16" s="168"/>
      <c r="X16" s="169"/>
      <c r="Z16" s="169"/>
      <c r="AA16" s="172"/>
      <c r="AH16" s="168"/>
      <c r="AI16" s="169"/>
      <c r="AJ16" s="168"/>
      <c r="AK16" s="169"/>
      <c r="AL16" s="169"/>
      <c r="AM16" s="172"/>
    </row>
    <row r="17" spans="1:39" ht="49.5" customHeight="1" thickBot="1">
      <c r="A17" s="176" t="s">
        <v>232</v>
      </c>
      <c r="B17" s="277">
        <v>11</v>
      </c>
      <c r="C17" s="278">
        <v>9</v>
      </c>
      <c r="D17" s="273">
        <v>81.8</v>
      </c>
      <c r="E17" s="278">
        <v>2</v>
      </c>
      <c r="F17" s="273">
        <v>18.2</v>
      </c>
      <c r="G17" s="272">
        <v>0</v>
      </c>
      <c r="H17" s="274">
        <v>0</v>
      </c>
      <c r="I17" s="165">
        <f t="shared" si="1"/>
        <v>100</v>
      </c>
      <c r="J17" s="106">
        <f t="shared" si="0"/>
        <v>11</v>
      </c>
      <c r="K17" s="264"/>
      <c r="L17" s="264"/>
      <c r="M17" s="264"/>
      <c r="N17" s="264"/>
      <c r="O17" s="264"/>
      <c r="P17" s="264"/>
      <c r="Q17" s="264"/>
      <c r="R17" s="264"/>
      <c r="S17" s="264"/>
      <c r="U17" s="168"/>
      <c r="V17" s="169"/>
      <c r="W17" s="168"/>
      <c r="X17" s="169"/>
      <c r="Z17" s="172"/>
      <c r="AA17" s="172"/>
      <c r="AH17" s="168"/>
      <c r="AI17" s="169"/>
      <c r="AJ17" s="168"/>
      <c r="AK17" s="169"/>
      <c r="AL17" s="169"/>
      <c r="AM17" s="172"/>
    </row>
    <row r="18" spans="1:39" ht="49.5" customHeight="1" thickBot="1">
      <c r="A18" s="177" t="s">
        <v>233</v>
      </c>
      <c r="B18" s="277">
        <v>1</v>
      </c>
      <c r="C18" s="278">
        <v>1</v>
      </c>
      <c r="D18" s="273">
        <v>100</v>
      </c>
      <c r="E18" s="278">
        <v>0</v>
      </c>
      <c r="F18" s="273">
        <v>0</v>
      </c>
      <c r="G18" s="272">
        <v>0</v>
      </c>
      <c r="H18" s="274">
        <v>0</v>
      </c>
      <c r="I18" s="165">
        <f t="shared" si="1"/>
        <v>100</v>
      </c>
      <c r="J18" s="106">
        <f t="shared" si="0"/>
        <v>1</v>
      </c>
      <c r="K18" s="264"/>
      <c r="L18" s="264"/>
      <c r="M18" s="264"/>
      <c r="N18" s="264"/>
      <c r="O18" s="264"/>
      <c r="P18" s="264"/>
      <c r="Q18" s="264"/>
      <c r="R18" s="264"/>
      <c r="S18" s="264"/>
      <c r="AA18" s="162"/>
      <c r="AH18" s="168"/>
      <c r="AI18" s="169"/>
      <c r="AJ18" s="168"/>
      <c r="AK18" s="169"/>
      <c r="AL18" s="172"/>
      <c r="AM18" s="172"/>
    </row>
    <row r="19" spans="1:39" ht="49.5" customHeight="1" thickBot="1">
      <c r="A19" s="175" t="s">
        <v>234</v>
      </c>
      <c r="B19" s="277">
        <v>58</v>
      </c>
      <c r="C19" s="278">
        <v>50</v>
      </c>
      <c r="D19" s="273">
        <v>86.2</v>
      </c>
      <c r="E19" s="278">
        <v>8</v>
      </c>
      <c r="F19" s="273">
        <v>13.8</v>
      </c>
      <c r="G19" s="272">
        <v>0</v>
      </c>
      <c r="H19" s="274">
        <v>0</v>
      </c>
      <c r="I19" s="165">
        <f t="shared" si="1"/>
        <v>100</v>
      </c>
      <c r="J19" s="106">
        <f t="shared" si="0"/>
        <v>58</v>
      </c>
      <c r="K19" s="264"/>
      <c r="L19" s="264"/>
      <c r="M19" s="264"/>
      <c r="N19" s="264"/>
      <c r="O19" s="264"/>
      <c r="P19" s="264"/>
      <c r="Q19" s="264"/>
      <c r="R19" s="264"/>
      <c r="S19" s="264"/>
      <c r="AA19" s="162"/>
      <c r="AH19" s="168"/>
      <c r="AI19" s="169"/>
      <c r="AJ19" s="168"/>
      <c r="AK19" s="169"/>
      <c r="AL19" s="172"/>
      <c r="AM19" s="172"/>
    </row>
    <row r="20" spans="1:39" ht="49.5" customHeight="1" thickBot="1">
      <c r="A20" s="177" t="s">
        <v>235</v>
      </c>
      <c r="B20" s="277">
        <v>3</v>
      </c>
      <c r="C20" s="278">
        <v>3</v>
      </c>
      <c r="D20" s="273">
        <v>100</v>
      </c>
      <c r="E20" s="278">
        <v>0</v>
      </c>
      <c r="F20" s="273">
        <v>0</v>
      </c>
      <c r="G20" s="272">
        <v>0</v>
      </c>
      <c r="H20" s="274">
        <v>0</v>
      </c>
      <c r="I20" s="165">
        <f t="shared" si="1"/>
        <v>100</v>
      </c>
      <c r="J20" s="106">
        <f t="shared" si="0"/>
        <v>3</v>
      </c>
      <c r="K20" s="264"/>
      <c r="L20" s="264"/>
      <c r="M20" s="264"/>
      <c r="N20" s="264"/>
      <c r="O20" s="264"/>
      <c r="P20" s="264"/>
      <c r="Q20" s="264"/>
      <c r="R20" s="264"/>
      <c r="S20" s="264"/>
      <c r="U20" s="168"/>
      <c r="V20" s="169"/>
      <c r="W20" s="168"/>
      <c r="X20" s="169"/>
      <c r="Z20" s="169"/>
      <c r="AA20" s="172"/>
      <c r="AC20" s="160"/>
      <c r="AD20" s="160"/>
      <c r="AE20" s="160"/>
      <c r="AH20" s="168"/>
      <c r="AI20" s="169"/>
      <c r="AJ20" s="168"/>
      <c r="AK20" s="169"/>
      <c r="AL20" s="169"/>
      <c r="AM20" s="172"/>
    </row>
    <row r="21" spans="1:39" ht="43.5" customHeight="1" thickBot="1">
      <c r="A21" s="175" t="s">
        <v>236</v>
      </c>
      <c r="B21" s="122">
        <v>1</v>
      </c>
      <c r="C21" s="122">
        <v>1</v>
      </c>
      <c r="D21" s="178">
        <v>100</v>
      </c>
      <c r="E21" s="122">
        <v>0</v>
      </c>
      <c r="F21" s="124">
        <v>0</v>
      </c>
      <c r="G21" s="122">
        <v>0</v>
      </c>
      <c r="H21" s="125">
        <v>0</v>
      </c>
      <c r="I21" s="165">
        <f t="shared" si="1"/>
        <v>100</v>
      </c>
      <c r="J21" s="106">
        <f>SUM(J8:J20)</f>
        <v>270</v>
      </c>
      <c r="K21" s="264"/>
      <c r="L21" s="264"/>
      <c r="M21" s="264"/>
      <c r="N21" s="264"/>
      <c r="O21" s="264"/>
      <c r="P21" s="264"/>
      <c r="Q21" s="264"/>
      <c r="R21" s="264"/>
      <c r="S21" s="264"/>
      <c r="U21" s="168"/>
      <c r="V21" s="169"/>
      <c r="W21" s="168"/>
      <c r="X21" s="169"/>
      <c r="Z21" s="169"/>
      <c r="AA21" s="172"/>
      <c r="AC21" s="160"/>
      <c r="AD21" s="160"/>
      <c r="AE21" s="160"/>
      <c r="AH21" s="168"/>
      <c r="AI21" s="169"/>
      <c r="AJ21" s="168"/>
      <c r="AK21" s="169"/>
      <c r="AL21" s="169"/>
      <c r="AM21" s="172"/>
    </row>
    <row r="22" spans="1:39" ht="27.75" customHeight="1" thickTop="1" thickBot="1">
      <c r="A22" s="177" t="s">
        <v>237</v>
      </c>
      <c r="B22" s="122">
        <v>1</v>
      </c>
      <c r="C22" s="122">
        <v>1</v>
      </c>
      <c r="D22" s="178">
        <v>100</v>
      </c>
      <c r="E22" s="122">
        <v>0</v>
      </c>
      <c r="F22" s="124">
        <v>0</v>
      </c>
      <c r="G22" s="122">
        <v>0</v>
      </c>
      <c r="H22" s="125">
        <v>0</v>
      </c>
      <c r="I22" s="165">
        <f t="shared" si="1"/>
        <v>100</v>
      </c>
      <c r="J22" s="179"/>
      <c r="K22" s="264"/>
      <c r="L22" s="264"/>
      <c r="M22" s="264"/>
      <c r="N22" s="264"/>
      <c r="O22" s="264"/>
      <c r="P22" s="264"/>
      <c r="Q22" s="264"/>
      <c r="R22" s="264"/>
      <c r="S22" s="264"/>
      <c r="U22" s="160"/>
      <c r="V22" s="161"/>
      <c r="W22" s="174"/>
      <c r="X22" s="161"/>
      <c r="Z22" s="161"/>
      <c r="AA22" s="162"/>
      <c r="AC22" s="160"/>
      <c r="AD22" s="160"/>
      <c r="AE22" s="160"/>
      <c r="AH22" s="168"/>
      <c r="AI22" s="169"/>
      <c r="AJ22" s="168"/>
      <c r="AK22" s="169"/>
      <c r="AL22" s="172"/>
      <c r="AM22" s="172"/>
    </row>
    <row r="23" spans="1:39" ht="27.75" customHeight="1" thickBot="1">
      <c r="A23" s="175" t="s">
        <v>238</v>
      </c>
      <c r="B23" s="122">
        <v>2</v>
      </c>
      <c r="C23" s="122">
        <v>2</v>
      </c>
      <c r="D23" s="178">
        <v>100</v>
      </c>
      <c r="E23" s="122">
        <v>0</v>
      </c>
      <c r="F23" s="124">
        <v>0</v>
      </c>
      <c r="G23" s="122">
        <v>0</v>
      </c>
      <c r="H23" s="125">
        <v>0</v>
      </c>
      <c r="I23" s="165">
        <f t="shared" si="1"/>
        <v>100</v>
      </c>
      <c r="J23" s="106"/>
      <c r="K23" s="264"/>
      <c r="L23" s="264"/>
      <c r="M23" s="264"/>
      <c r="N23" s="264"/>
      <c r="O23" s="264"/>
      <c r="P23" s="264"/>
      <c r="Q23" s="264"/>
      <c r="R23" s="264"/>
      <c r="S23" s="264"/>
      <c r="U23" s="160"/>
      <c r="V23" s="161"/>
      <c r="W23" s="162"/>
      <c r="Z23" s="161"/>
      <c r="AA23" s="162"/>
      <c r="AC23" s="160"/>
      <c r="AD23" s="160"/>
      <c r="AE23" s="160"/>
      <c r="AH23" s="168"/>
      <c r="AI23" s="169"/>
      <c r="AJ23" s="168"/>
      <c r="AK23" s="169"/>
      <c r="AL23" s="172"/>
      <c r="AM23" s="172"/>
    </row>
    <row r="24" spans="1:39" ht="27.75" customHeight="1" thickTop="1" thickBot="1">
      <c r="A24" s="177" t="s">
        <v>239</v>
      </c>
      <c r="B24" s="122">
        <v>5</v>
      </c>
      <c r="C24" s="122">
        <v>3</v>
      </c>
      <c r="D24" s="178">
        <v>60</v>
      </c>
      <c r="E24" s="122">
        <v>2</v>
      </c>
      <c r="F24" s="124">
        <v>40</v>
      </c>
      <c r="G24" s="122">
        <v>0</v>
      </c>
      <c r="H24" s="125">
        <v>0</v>
      </c>
      <c r="I24" s="165">
        <f t="shared" si="1"/>
        <v>100</v>
      </c>
      <c r="K24" s="264"/>
      <c r="L24" s="264"/>
      <c r="M24" s="264"/>
      <c r="N24" s="264"/>
      <c r="O24" s="264"/>
      <c r="P24" s="264"/>
      <c r="Q24" s="264"/>
      <c r="R24" s="264"/>
      <c r="S24" s="264"/>
      <c r="U24" s="160"/>
      <c r="V24" s="161"/>
      <c r="W24" s="162"/>
      <c r="Z24" s="161"/>
      <c r="AA24" s="162"/>
      <c r="AC24" s="160"/>
      <c r="AD24" s="160"/>
      <c r="AE24" s="160"/>
      <c r="AH24" s="168"/>
      <c r="AI24" s="169"/>
      <c r="AJ24" s="168"/>
      <c r="AK24" s="169"/>
      <c r="AL24" s="169"/>
      <c r="AM24" s="169"/>
    </row>
    <row r="25" spans="1:39" ht="27.75" customHeight="1" thickBot="1">
      <c r="A25" s="175" t="s">
        <v>240</v>
      </c>
      <c r="B25" s="122">
        <v>2</v>
      </c>
      <c r="C25" s="122">
        <v>1</v>
      </c>
      <c r="D25" s="178">
        <v>50</v>
      </c>
      <c r="E25" s="122">
        <v>1</v>
      </c>
      <c r="F25" s="124">
        <v>50</v>
      </c>
      <c r="G25" s="122">
        <v>0</v>
      </c>
      <c r="H25" s="125">
        <v>0</v>
      </c>
      <c r="I25" s="165">
        <f t="shared" si="1"/>
        <v>100</v>
      </c>
      <c r="K25" s="264"/>
      <c r="L25" s="264"/>
      <c r="M25" s="264"/>
      <c r="N25" s="264"/>
      <c r="O25" s="264"/>
      <c r="P25" s="264"/>
      <c r="Q25" s="264"/>
      <c r="R25" s="264"/>
      <c r="S25" s="264"/>
      <c r="U25" s="160"/>
      <c r="V25" s="161"/>
      <c r="W25" s="162"/>
      <c r="Z25" s="161"/>
      <c r="AA25" s="162"/>
      <c r="AC25" s="160"/>
      <c r="AD25" s="160"/>
      <c r="AE25" s="160"/>
      <c r="AH25" s="168"/>
      <c r="AI25" s="169"/>
      <c r="AJ25" s="168"/>
      <c r="AK25" s="169"/>
      <c r="AL25" s="169"/>
      <c r="AM25" s="172"/>
    </row>
    <row r="26" spans="1:39" ht="21.75" thickTop="1" thickBot="1">
      <c r="A26" s="177" t="s">
        <v>241</v>
      </c>
      <c r="B26" s="122">
        <v>1</v>
      </c>
      <c r="C26" s="122">
        <v>1</v>
      </c>
      <c r="D26" s="178">
        <v>100</v>
      </c>
      <c r="E26" s="122">
        <v>0</v>
      </c>
      <c r="F26" s="124">
        <v>0</v>
      </c>
      <c r="G26" s="122">
        <v>0</v>
      </c>
      <c r="H26" s="125">
        <v>0</v>
      </c>
      <c r="I26" s="165">
        <f t="shared" si="1"/>
        <v>100</v>
      </c>
      <c r="K26" s="264"/>
      <c r="L26" s="264"/>
      <c r="M26" s="264"/>
      <c r="N26" s="264"/>
      <c r="O26" s="264"/>
      <c r="P26" s="264"/>
      <c r="Q26" s="264"/>
      <c r="R26" s="264"/>
      <c r="S26" s="264"/>
      <c r="U26" s="160"/>
      <c r="V26" s="161"/>
      <c r="W26" s="162"/>
      <c r="Z26" s="161"/>
      <c r="AA26" s="161"/>
      <c r="AC26" s="160"/>
      <c r="AD26" s="160"/>
      <c r="AE26" s="160"/>
      <c r="AH26" s="168"/>
      <c r="AI26" s="169"/>
      <c r="AJ26" s="168"/>
      <c r="AK26" s="169"/>
      <c r="AL26" s="169"/>
      <c r="AM26" s="172"/>
    </row>
    <row r="27" spans="1:39" ht="53.25" customHeight="1" thickBot="1">
      <c r="A27" s="175" t="s">
        <v>242</v>
      </c>
      <c r="B27" s="122">
        <v>1</v>
      </c>
      <c r="C27" s="122">
        <v>0</v>
      </c>
      <c r="D27" s="178">
        <v>0</v>
      </c>
      <c r="E27" s="122">
        <v>1</v>
      </c>
      <c r="F27" s="124">
        <v>100</v>
      </c>
      <c r="G27" s="122">
        <v>0</v>
      </c>
      <c r="H27" s="125">
        <v>0</v>
      </c>
      <c r="I27" s="165">
        <f t="shared" si="1"/>
        <v>100</v>
      </c>
      <c r="K27" s="264"/>
      <c r="L27" s="264"/>
      <c r="M27" s="264"/>
      <c r="N27" s="264"/>
      <c r="O27" s="264"/>
      <c r="P27" s="264"/>
      <c r="Q27" s="264"/>
      <c r="R27" s="264"/>
      <c r="S27" s="264"/>
      <c r="U27" s="160"/>
      <c r="V27" s="161"/>
      <c r="W27" s="162"/>
      <c r="Z27" s="161"/>
      <c r="AA27" s="162"/>
      <c r="AC27" s="160"/>
      <c r="AD27" s="160"/>
      <c r="AE27" s="160"/>
      <c r="AH27" s="168"/>
      <c r="AI27" s="169"/>
      <c r="AJ27" s="168"/>
      <c r="AK27" s="169"/>
      <c r="AL27" s="169"/>
      <c r="AM27" s="172"/>
    </row>
    <row r="28" spans="1:39" ht="21.75" thickTop="1" thickBot="1">
      <c r="A28" s="177" t="s">
        <v>243</v>
      </c>
      <c r="B28" s="122">
        <v>5</v>
      </c>
      <c r="C28" s="122">
        <v>0</v>
      </c>
      <c r="D28" s="178">
        <v>0</v>
      </c>
      <c r="E28" s="122">
        <v>5</v>
      </c>
      <c r="F28" s="124">
        <v>100</v>
      </c>
      <c r="G28" s="122">
        <v>0</v>
      </c>
      <c r="H28" s="125">
        <v>0</v>
      </c>
      <c r="I28" s="165">
        <f t="shared" si="1"/>
        <v>100</v>
      </c>
      <c r="J28" s="180"/>
      <c r="K28" s="264"/>
      <c r="L28" s="264"/>
      <c r="M28" s="264"/>
      <c r="N28" s="264"/>
      <c r="O28" s="264"/>
      <c r="P28" s="264"/>
      <c r="Q28" s="264"/>
      <c r="R28" s="264"/>
      <c r="S28" s="264"/>
      <c r="U28" s="160"/>
      <c r="V28" s="161"/>
      <c r="W28" s="162"/>
      <c r="Z28" s="161"/>
      <c r="AA28" s="162"/>
    </row>
    <row r="29" spans="1:39" ht="21" thickBot="1">
      <c r="A29" s="175" t="s">
        <v>244</v>
      </c>
      <c r="B29" s="122">
        <v>74</v>
      </c>
      <c r="C29" s="122">
        <v>23</v>
      </c>
      <c r="D29" s="178">
        <v>31.1</v>
      </c>
      <c r="E29" s="122">
        <v>51</v>
      </c>
      <c r="F29" s="124">
        <v>68.900000000000006</v>
      </c>
      <c r="G29" s="122">
        <v>0</v>
      </c>
      <c r="H29" s="125">
        <v>0</v>
      </c>
      <c r="I29" s="165">
        <f t="shared" si="1"/>
        <v>100</v>
      </c>
      <c r="J29" s="180"/>
      <c r="K29" s="264"/>
      <c r="L29" s="264"/>
      <c r="M29" s="264"/>
      <c r="N29" s="264"/>
      <c r="O29" s="264"/>
      <c r="P29" s="264"/>
      <c r="Q29" s="264"/>
      <c r="R29" s="264"/>
      <c r="S29" s="264"/>
      <c r="U29" s="160"/>
      <c r="V29" s="161"/>
      <c r="W29" s="162"/>
      <c r="Z29" s="161"/>
      <c r="AA29" s="162"/>
    </row>
    <row r="30" spans="1:39" ht="42" thickTop="1" thickBot="1">
      <c r="A30" s="177" t="s">
        <v>245</v>
      </c>
      <c r="B30" s="122">
        <v>4</v>
      </c>
      <c r="C30" s="122">
        <v>3</v>
      </c>
      <c r="D30" s="178">
        <v>75</v>
      </c>
      <c r="E30" s="122">
        <v>1</v>
      </c>
      <c r="F30" s="124">
        <v>25</v>
      </c>
      <c r="G30" s="122">
        <v>0</v>
      </c>
      <c r="H30" s="125">
        <v>0</v>
      </c>
      <c r="I30" s="165">
        <f t="shared" si="1"/>
        <v>100</v>
      </c>
      <c r="J30" s="180"/>
      <c r="K30" s="264"/>
      <c r="L30" s="264"/>
      <c r="M30" s="264"/>
      <c r="N30" s="264"/>
      <c r="O30" s="264"/>
      <c r="P30" s="264"/>
      <c r="Q30" s="264"/>
      <c r="R30" s="264"/>
      <c r="S30" s="264"/>
      <c r="U30" s="160"/>
      <c r="V30" s="161"/>
      <c r="W30" s="162"/>
      <c r="Z30" s="161"/>
      <c r="AA30" s="161"/>
    </row>
    <row r="31" spans="1:39" ht="21" thickBot="1">
      <c r="A31" s="175" t="s">
        <v>246</v>
      </c>
      <c r="B31" s="122">
        <v>2</v>
      </c>
      <c r="C31" s="122">
        <v>1</v>
      </c>
      <c r="D31" s="178">
        <v>50</v>
      </c>
      <c r="E31" s="122">
        <v>1</v>
      </c>
      <c r="F31" s="124">
        <v>50</v>
      </c>
      <c r="G31" s="122">
        <v>0</v>
      </c>
      <c r="H31" s="125">
        <v>0</v>
      </c>
      <c r="I31" s="165">
        <f t="shared" si="1"/>
        <v>100</v>
      </c>
      <c r="K31" s="264"/>
      <c r="L31" s="264"/>
      <c r="M31" s="264"/>
      <c r="N31" s="264"/>
      <c r="O31" s="264"/>
      <c r="P31" s="264"/>
      <c r="Q31" s="264"/>
      <c r="R31" s="264"/>
      <c r="S31" s="264"/>
      <c r="U31" s="160"/>
      <c r="V31" s="161"/>
      <c r="W31" s="162"/>
      <c r="Z31" s="161"/>
      <c r="AA31" s="162"/>
    </row>
    <row r="32" spans="1:39" ht="21.75" thickTop="1" thickBot="1">
      <c r="A32" s="177" t="s">
        <v>247</v>
      </c>
      <c r="B32" s="122">
        <v>9</v>
      </c>
      <c r="C32" s="122">
        <v>1</v>
      </c>
      <c r="D32" s="178">
        <v>11.1</v>
      </c>
      <c r="E32" s="122">
        <v>8</v>
      </c>
      <c r="F32" s="124">
        <v>88.9</v>
      </c>
      <c r="G32" s="122">
        <v>0</v>
      </c>
      <c r="H32" s="125">
        <v>0</v>
      </c>
      <c r="I32" s="165">
        <f t="shared" si="1"/>
        <v>100</v>
      </c>
      <c r="K32" s="173"/>
      <c r="L32" s="264"/>
      <c r="M32" s="264"/>
      <c r="N32" s="264"/>
      <c r="O32" s="264"/>
      <c r="P32" s="264"/>
      <c r="Q32" s="264"/>
      <c r="R32" s="264"/>
      <c r="S32" s="264"/>
      <c r="U32" s="160"/>
      <c r="V32" s="161"/>
      <c r="W32" s="162"/>
      <c r="Z32" s="161"/>
      <c r="AA32" s="162"/>
    </row>
    <row r="33" spans="1:27" ht="21" thickBot="1">
      <c r="A33" s="175" t="s">
        <v>248</v>
      </c>
      <c r="B33" s="122">
        <v>6</v>
      </c>
      <c r="C33" s="122">
        <v>3</v>
      </c>
      <c r="D33" s="178">
        <v>50</v>
      </c>
      <c r="E33" s="122">
        <v>3</v>
      </c>
      <c r="F33" s="124">
        <v>50</v>
      </c>
      <c r="G33" s="122">
        <v>0</v>
      </c>
      <c r="H33" s="125">
        <v>0</v>
      </c>
      <c r="I33" s="165">
        <f t="shared" si="1"/>
        <v>100</v>
      </c>
      <c r="K33" s="166"/>
      <c r="L33" s="264"/>
      <c r="M33" s="264"/>
      <c r="N33" s="264"/>
      <c r="O33" s="264"/>
      <c r="P33" s="264"/>
      <c r="Q33" s="264"/>
      <c r="R33" s="264"/>
      <c r="S33" s="264"/>
      <c r="U33" s="160"/>
      <c r="V33" s="161"/>
      <c r="W33" s="161"/>
      <c r="Z33" s="161"/>
      <c r="AA33" s="161"/>
    </row>
    <row r="34" spans="1:27" ht="21.75" thickTop="1" thickBot="1">
      <c r="A34" s="177" t="s">
        <v>249</v>
      </c>
      <c r="B34" s="122">
        <v>9</v>
      </c>
      <c r="C34" s="122">
        <v>3</v>
      </c>
      <c r="D34" s="178">
        <v>33.299999999999997</v>
      </c>
      <c r="E34" s="122">
        <v>5</v>
      </c>
      <c r="F34" s="124">
        <v>55.6</v>
      </c>
      <c r="G34" s="122">
        <v>1</v>
      </c>
      <c r="H34" s="125">
        <v>11.1</v>
      </c>
      <c r="I34" s="165">
        <f t="shared" si="1"/>
        <v>100</v>
      </c>
      <c r="K34" s="166"/>
      <c r="L34" s="264"/>
      <c r="M34" s="264"/>
      <c r="N34" s="264"/>
      <c r="O34" s="264"/>
      <c r="P34" s="264"/>
      <c r="Q34" s="264"/>
      <c r="R34" s="264"/>
      <c r="S34" s="264"/>
      <c r="U34" s="160"/>
      <c r="V34" s="161"/>
      <c r="W34" s="162"/>
      <c r="Z34" s="161"/>
      <c r="AA34" s="161"/>
    </row>
    <row r="35" spans="1:27" ht="21" thickBot="1">
      <c r="A35" s="175" t="s">
        <v>250</v>
      </c>
      <c r="B35" s="122">
        <v>4</v>
      </c>
      <c r="C35" s="122">
        <v>4</v>
      </c>
      <c r="D35" s="178">
        <v>100</v>
      </c>
      <c r="E35" s="122">
        <v>0</v>
      </c>
      <c r="F35" s="124">
        <v>0</v>
      </c>
      <c r="G35" s="122">
        <v>0</v>
      </c>
      <c r="H35" s="125">
        <v>0</v>
      </c>
      <c r="I35" s="165">
        <f t="shared" si="1"/>
        <v>100</v>
      </c>
      <c r="K35" s="166"/>
      <c r="L35" s="264"/>
      <c r="M35" s="264"/>
      <c r="N35" s="264"/>
      <c r="O35" s="264"/>
      <c r="P35" s="264"/>
      <c r="Q35" s="264"/>
      <c r="R35" s="264"/>
      <c r="S35" s="264"/>
      <c r="U35" s="160"/>
      <c r="V35" s="161"/>
      <c r="W35" s="162"/>
      <c r="Z35" s="161"/>
      <c r="AA35" s="162"/>
    </row>
    <row r="36" spans="1:27" ht="21.75" thickTop="1" thickBot="1">
      <c r="A36" s="177" t="s">
        <v>251</v>
      </c>
      <c r="B36" s="122">
        <v>85</v>
      </c>
      <c r="C36" s="122">
        <v>52</v>
      </c>
      <c r="D36" s="178">
        <v>61.2</v>
      </c>
      <c r="E36" s="122">
        <v>30</v>
      </c>
      <c r="F36" s="124">
        <v>35.299999999999997</v>
      </c>
      <c r="G36" s="122">
        <v>3</v>
      </c>
      <c r="H36" s="125">
        <v>3.5</v>
      </c>
      <c r="I36" s="165">
        <f t="shared" si="1"/>
        <v>100</v>
      </c>
      <c r="K36" s="166"/>
      <c r="L36" s="264"/>
      <c r="M36" s="264"/>
      <c r="N36" s="264"/>
      <c r="O36" s="264"/>
      <c r="P36" s="264"/>
      <c r="Q36" s="264"/>
      <c r="R36" s="264"/>
      <c r="S36" s="264"/>
      <c r="U36" s="160"/>
      <c r="V36" s="161"/>
      <c r="W36" s="162"/>
      <c r="Z36" s="161"/>
      <c r="AA36" s="162"/>
    </row>
    <row r="37" spans="1:27" ht="21" thickBot="1">
      <c r="A37" s="175" t="s">
        <v>252</v>
      </c>
      <c r="B37" s="122">
        <v>1</v>
      </c>
      <c r="C37" s="122">
        <v>0</v>
      </c>
      <c r="D37" s="178">
        <v>0</v>
      </c>
      <c r="E37" s="122">
        <v>1</v>
      </c>
      <c r="F37" s="124">
        <v>100</v>
      </c>
      <c r="G37" s="122">
        <v>0</v>
      </c>
      <c r="H37" s="125">
        <v>0</v>
      </c>
      <c r="I37" s="165">
        <f t="shared" si="1"/>
        <v>100</v>
      </c>
      <c r="L37" s="264"/>
      <c r="M37" s="264"/>
      <c r="N37" s="264"/>
      <c r="O37" s="264"/>
      <c r="P37" s="264"/>
      <c r="Q37" s="264"/>
      <c r="R37" s="264"/>
      <c r="S37" s="264"/>
      <c r="U37" s="160"/>
      <c r="V37" s="161"/>
      <c r="W37" s="162"/>
      <c r="Z37" s="161"/>
      <c r="AA37" s="162"/>
    </row>
    <row r="38" spans="1:27" ht="21.75" thickTop="1" thickBot="1">
      <c r="A38" s="177" t="s">
        <v>253</v>
      </c>
      <c r="B38" s="122">
        <v>1</v>
      </c>
      <c r="C38" s="122">
        <v>0</v>
      </c>
      <c r="D38" s="178">
        <v>0</v>
      </c>
      <c r="E38" s="122">
        <v>1</v>
      </c>
      <c r="F38" s="124">
        <v>100</v>
      </c>
      <c r="G38" s="122">
        <v>0</v>
      </c>
      <c r="H38" s="125">
        <v>0</v>
      </c>
      <c r="I38" s="165">
        <f t="shared" si="1"/>
        <v>100</v>
      </c>
      <c r="L38" s="264"/>
      <c r="M38" s="264"/>
      <c r="N38" s="264"/>
      <c r="O38" s="264"/>
      <c r="P38" s="264"/>
      <c r="Q38" s="264"/>
      <c r="R38" s="264"/>
      <c r="S38" s="264"/>
      <c r="U38" s="160"/>
      <c r="V38" s="161"/>
      <c r="W38" s="162"/>
      <c r="Z38" s="161"/>
      <c r="AA38" s="162"/>
    </row>
    <row r="39" spans="1:27" ht="21" thickBot="1">
      <c r="A39" s="175" t="s">
        <v>254</v>
      </c>
      <c r="B39" s="122">
        <v>164</v>
      </c>
      <c r="C39" s="122">
        <v>52</v>
      </c>
      <c r="D39" s="178">
        <v>31.7</v>
      </c>
      <c r="E39" s="122">
        <v>111</v>
      </c>
      <c r="F39" s="124">
        <v>67.7</v>
      </c>
      <c r="G39" s="122">
        <v>1</v>
      </c>
      <c r="H39" s="125">
        <v>0.6</v>
      </c>
      <c r="I39" s="165">
        <f t="shared" si="1"/>
        <v>100</v>
      </c>
      <c r="L39" s="264"/>
      <c r="M39" s="264"/>
      <c r="N39" s="264"/>
      <c r="O39" s="264"/>
      <c r="P39" s="264"/>
      <c r="Q39" s="264"/>
      <c r="R39" s="264"/>
      <c r="S39" s="264"/>
      <c r="U39" s="160"/>
      <c r="V39" s="161"/>
      <c r="W39" s="162"/>
      <c r="Z39" s="161"/>
      <c r="AA39" s="162"/>
    </row>
    <row r="40" spans="1:27" ht="21.75" thickTop="1" thickBot="1">
      <c r="A40" s="177" t="s">
        <v>255</v>
      </c>
      <c r="B40" s="122">
        <v>9</v>
      </c>
      <c r="C40" s="122">
        <v>8</v>
      </c>
      <c r="D40" s="178">
        <v>88.9</v>
      </c>
      <c r="E40" s="122">
        <v>1</v>
      </c>
      <c r="F40" s="124">
        <v>11.1</v>
      </c>
      <c r="G40" s="122">
        <v>0</v>
      </c>
      <c r="H40" s="125">
        <v>0</v>
      </c>
      <c r="I40" s="165">
        <f t="shared" si="1"/>
        <v>100</v>
      </c>
      <c r="L40" s="264"/>
      <c r="M40" s="264"/>
      <c r="N40" s="264"/>
      <c r="O40" s="264"/>
      <c r="P40" s="264"/>
      <c r="Q40" s="264"/>
      <c r="R40" s="264"/>
      <c r="S40" s="264"/>
      <c r="U40" s="160"/>
      <c r="V40" s="161"/>
      <c r="W40" s="162"/>
      <c r="Z40" s="161"/>
      <c r="AA40" s="162"/>
    </row>
    <row r="41" spans="1:27" ht="21" thickBot="1">
      <c r="A41" s="175" t="s">
        <v>256</v>
      </c>
      <c r="B41" s="122">
        <v>3</v>
      </c>
      <c r="C41" s="122">
        <v>0</v>
      </c>
      <c r="D41" s="178">
        <v>0</v>
      </c>
      <c r="E41" s="122">
        <v>3</v>
      </c>
      <c r="F41" s="124">
        <v>100</v>
      </c>
      <c r="G41" s="122">
        <v>0</v>
      </c>
      <c r="H41" s="125">
        <v>0</v>
      </c>
      <c r="I41" s="165">
        <f t="shared" si="1"/>
        <v>100</v>
      </c>
      <c r="L41" s="264"/>
      <c r="M41" s="264"/>
      <c r="N41" s="264"/>
      <c r="O41" s="264"/>
      <c r="P41" s="264"/>
      <c r="Q41" s="264"/>
      <c r="R41" s="264"/>
      <c r="S41" s="264"/>
      <c r="U41" s="160"/>
      <c r="V41" s="161"/>
      <c r="W41" s="162"/>
      <c r="Z41" s="161"/>
      <c r="AA41" s="162"/>
    </row>
    <row r="42" spans="1:27" ht="21.75" thickTop="1" thickBot="1">
      <c r="A42" s="177" t="s">
        <v>257</v>
      </c>
      <c r="B42" s="122">
        <v>117</v>
      </c>
      <c r="C42" s="122">
        <v>35</v>
      </c>
      <c r="D42" s="178">
        <v>29.9</v>
      </c>
      <c r="E42" s="122">
        <v>81</v>
      </c>
      <c r="F42" s="124">
        <v>69.2</v>
      </c>
      <c r="G42" s="122">
        <v>1</v>
      </c>
      <c r="H42" s="125">
        <v>0.9</v>
      </c>
      <c r="I42" s="165">
        <f t="shared" si="1"/>
        <v>100</v>
      </c>
      <c r="L42" s="264"/>
      <c r="M42" s="264"/>
      <c r="N42" s="264"/>
      <c r="O42" s="264"/>
      <c r="P42" s="264"/>
      <c r="Q42" s="264"/>
      <c r="R42" s="264"/>
      <c r="S42" s="264"/>
      <c r="U42" s="160"/>
      <c r="V42" s="161"/>
      <c r="W42" s="162"/>
      <c r="Z42" s="161"/>
      <c r="AA42" s="162"/>
    </row>
    <row r="43" spans="1:27" ht="21" thickBot="1">
      <c r="A43" s="175" t="s">
        <v>258</v>
      </c>
      <c r="B43" s="122">
        <v>3</v>
      </c>
      <c r="C43" s="122">
        <v>3</v>
      </c>
      <c r="D43" s="178">
        <v>100</v>
      </c>
      <c r="E43" s="122"/>
      <c r="F43" s="124">
        <v>0</v>
      </c>
      <c r="G43" s="122">
        <v>0</v>
      </c>
      <c r="H43" s="125">
        <v>0</v>
      </c>
      <c r="I43" s="165">
        <f t="shared" si="1"/>
        <v>100</v>
      </c>
      <c r="L43" s="264"/>
      <c r="M43" s="264"/>
      <c r="N43" s="264"/>
      <c r="O43" s="264"/>
      <c r="P43" s="264"/>
      <c r="Q43" s="264"/>
      <c r="R43" s="264"/>
      <c r="S43" s="264"/>
      <c r="U43" s="160"/>
      <c r="V43" s="161"/>
      <c r="W43" s="162"/>
      <c r="Z43" s="161"/>
      <c r="AA43" s="162"/>
    </row>
    <row r="44" spans="1:27" ht="21.75" thickTop="1" thickBot="1">
      <c r="A44" s="177" t="s">
        <v>259</v>
      </c>
      <c r="B44" s="122">
        <v>52</v>
      </c>
      <c r="C44" s="122">
        <v>9</v>
      </c>
      <c r="D44" s="178">
        <v>17.3</v>
      </c>
      <c r="E44" s="122">
        <v>42</v>
      </c>
      <c r="F44" s="124">
        <v>80.8</v>
      </c>
      <c r="G44" s="122">
        <v>1</v>
      </c>
      <c r="H44" s="125">
        <v>1.9</v>
      </c>
      <c r="I44" s="165">
        <f t="shared" si="1"/>
        <v>100</v>
      </c>
      <c r="L44" s="264"/>
      <c r="M44" s="264"/>
      <c r="N44" s="264"/>
      <c r="O44" s="264"/>
      <c r="P44" s="264"/>
      <c r="Q44" s="264"/>
      <c r="R44" s="264"/>
      <c r="S44" s="264"/>
      <c r="U44" s="160"/>
      <c r="V44" s="161"/>
      <c r="W44" s="162"/>
      <c r="Z44" s="161"/>
      <c r="AA44" s="162"/>
    </row>
    <row r="45" spans="1:27" ht="21" thickBot="1">
      <c r="A45" s="175" t="s">
        <v>260</v>
      </c>
      <c r="B45" s="122">
        <v>1</v>
      </c>
      <c r="C45" s="122">
        <v>1</v>
      </c>
      <c r="D45" s="178">
        <v>100</v>
      </c>
      <c r="E45" s="122"/>
      <c r="F45" s="124">
        <v>0</v>
      </c>
      <c r="G45" s="122">
        <v>0</v>
      </c>
      <c r="H45" s="125">
        <v>0</v>
      </c>
      <c r="I45" s="165">
        <f t="shared" si="1"/>
        <v>100</v>
      </c>
      <c r="L45" s="264"/>
      <c r="M45" s="264"/>
      <c r="N45" s="264"/>
      <c r="O45" s="264"/>
      <c r="P45" s="264"/>
      <c r="Q45" s="264"/>
      <c r="R45" s="264"/>
      <c r="S45" s="264"/>
      <c r="U45" s="160"/>
      <c r="V45" s="161"/>
      <c r="W45" s="162"/>
      <c r="Z45" s="161"/>
      <c r="AA45" s="162"/>
    </row>
    <row r="46" spans="1:27" ht="21.75" thickTop="1" thickBot="1">
      <c r="A46" s="177" t="s">
        <v>261</v>
      </c>
      <c r="B46" s="122">
        <v>95</v>
      </c>
      <c r="C46" s="122">
        <v>19</v>
      </c>
      <c r="D46" s="178">
        <v>20</v>
      </c>
      <c r="E46" s="122">
        <v>75</v>
      </c>
      <c r="F46" s="124">
        <v>78.900000000000006</v>
      </c>
      <c r="G46" s="122">
        <v>1</v>
      </c>
      <c r="H46" s="125">
        <v>1.1000000000000001</v>
      </c>
      <c r="I46" s="165">
        <f t="shared" si="1"/>
        <v>100</v>
      </c>
      <c r="L46" s="264"/>
      <c r="M46" s="264"/>
      <c r="N46" s="264"/>
      <c r="O46" s="264"/>
      <c r="P46" s="264"/>
      <c r="Q46" s="264"/>
      <c r="R46" s="264"/>
      <c r="S46" s="264"/>
      <c r="U46" s="160"/>
      <c r="V46" s="161"/>
      <c r="W46" s="162"/>
      <c r="Z46" s="161"/>
      <c r="AA46" s="162"/>
    </row>
    <row r="47" spans="1:27" ht="21" thickBot="1">
      <c r="A47" s="175" t="s">
        <v>262</v>
      </c>
      <c r="B47" s="122">
        <v>9</v>
      </c>
      <c r="C47" s="122">
        <v>8</v>
      </c>
      <c r="D47" s="178">
        <v>88.9</v>
      </c>
      <c r="E47" s="122">
        <v>1</v>
      </c>
      <c r="F47" s="124">
        <v>11.1</v>
      </c>
      <c r="G47" s="122">
        <v>0</v>
      </c>
      <c r="H47" s="125">
        <v>0</v>
      </c>
      <c r="I47" s="165">
        <f t="shared" si="1"/>
        <v>100</v>
      </c>
      <c r="L47" s="264"/>
      <c r="M47" s="264"/>
      <c r="N47" s="264"/>
      <c r="O47" s="264"/>
      <c r="P47" s="264"/>
      <c r="Q47" s="264"/>
      <c r="R47" s="264"/>
      <c r="S47" s="264"/>
      <c r="U47" s="160"/>
      <c r="V47" s="161"/>
      <c r="W47" s="162"/>
      <c r="Z47" s="161"/>
      <c r="AA47" s="162"/>
    </row>
    <row r="48" spans="1:27" ht="21.75" thickTop="1" thickBot="1">
      <c r="A48" s="177" t="s">
        <v>263</v>
      </c>
      <c r="B48" s="122">
        <v>20</v>
      </c>
      <c r="C48" s="122">
        <v>4</v>
      </c>
      <c r="D48" s="178">
        <v>20</v>
      </c>
      <c r="E48" s="122">
        <v>16</v>
      </c>
      <c r="F48" s="124">
        <v>80</v>
      </c>
      <c r="G48" s="122">
        <v>0</v>
      </c>
      <c r="H48" s="125">
        <v>0</v>
      </c>
      <c r="I48" s="165">
        <f t="shared" si="1"/>
        <v>100</v>
      </c>
      <c r="L48" s="264"/>
      <c r="M48" s="264"/>
      <c r="N48" s="264"/>
      <c r="O48" s="264"/>
      <c r="P48" s="264"/>
      <c r="Q48" s="264"/>
      <c r="R48" s="264"/>
      <c r="S48" s="264"/>
      <c r="U48" s="160"/>
      <c r="V48" s="161"/>
      <c r="W48" s="162"/>
      <c r="Z48" s="161"/>
      <c r="AA48" s="162"/>
    </row>
    <row r="49" spans="1:27" ht="21" thickBot="1">
      <c r="A49" s="175" t="s">
        <v>264</v>
      </c>
      <c r="B49" s="122">
        <v>84</v>
      </c>
      <c r="C49" s="122">
        <v>83</v>
      </c>
      <c r="D49" s="178">
        <v>98.8</v>
      </c>
      <c r="E49" s="122">
        <v>1</v>
      </c>
      <c r="F49" s="124">
        <v>1.2</v>
      </c>
      <c r="G49" s="122">
        <v>0</v>
      </c>
      <c r="H49" s="125">
        <v>0</v>
      </c>
      <c r="I49" s="165">
        <f t="shared" si="1"/>
        <v>100</v>
      </c>
      <c r="L49" s="264"/>
      <c r="M49" s="264"/>
      <c r="N49" s="264"/>
      <c r="O49" s="264"/>
      <c r="P49" s="264"/>
      <c r="Q49" s="264"/>
      <c r="R49" s="264"/>
      <c r="S49" s="264"/>
      <c r="U49" s="160"/>
      <c r="V49" s="161"/>
      <c r="W49" s="162"/>
      <c r="Z49" s="161"/>
      <c r="AA49" s="162"/>
    </row>
    <row r="50" spans="1:27" ht="21" customHeight="1" thickTop="1" thickBot="1">
      <c r="A50" s="177" t="s">
        <v>265</v>
      </c>
      <c r="B50" s="122">
        <v>1</v>
      </c>
      <c r="C50" s="122">
        <v>1</v>
      </c>
      <c r="D50" s="178">
        <v>100</v>
      </c>
      <c r="E50" s="122">
        <v>0</v>
      </c>
      <c r="F50" s="124">
        <v>0</v>
      </c>
      <c r="G50" s="122">
        <v>0</v>
      </c>
      <c r="H50" s="125">
        <v>0</v>
      </c>
      <c r="I50" s="165">
        <f t="shared" si="1"/>
        <v>100</v>
      </c>
      <c r="L50" s="264"/>
      <c r="M50" s="264"/>
      <c r="N50" s="264"/>
      <c r="O50" s="264"/>
      <c r="P50" s="264"/>
      <c r="Q50" s="264"/>
      <c r="R50" s="264"/>
      <c r="S50" s="264"/>
      <c r="U50" s="160"/>
      <c r="V50" s="161"/>
      <c r="W50" s="162"/>
      <c r="Z50" s="161"/>
      <c r="AA50" s="161"/>
    </row>
    <row r="51" spans="1:27" ht="21" thickBot="1">
      <c r="A51" s="175" t="s">
        <v>266</v>
      </c>
      <c r="B51" s="122">
        <v>132</v>
      </c>
      <c r="C51" s="122">
        <v>132</v>
      </c>
      <c r="D51" s="178">
        <v>100</v>
      </c>
      <c r="E51" s="122">
        <v>0</v>
      </c>
      <c r="F51" s="124">
        <v>0</v>
      </c>
      <c r="G51" s="122">
        <v>0</v>
      </c>
      <c r="H51" s="125">
        <v>0</v>
      </c>
      <c r="I51" s="165">
        <f t="shared" si="1"/>
        <v>100</v>
      </c>
      <c r="L51" s="264"/>
      <c r="M51" s="264"/>
      <c r="N51" s="264"/>
      <c r="O51" s="264"/>
      <c r="P51" s="264"/>
      <c r="Q51" s="264"/>
      <c r="R51" s="264"/>
      <c r="S51" s="264"/>
      <c r="U51" s="160"/>
      <c r="V51" s="161"/>
      <c r="W51" s="162"/>
      <c r="Z51" s="161"/>
      <c r="AA51" s="162"/>
    </row>
    <row r="52" spans="1:27" ht="21.75" thickTop="1" thickBot="1">
      <c r="A52" s="177" t="s">
        <v>267</v>
      </c>
      <c r="B52" s="122">
        <v>62</v>
      </c>
      <c r="C52" s="122">
        <v>43</v>
      </c>
      <c r="D52" s="178">
        <v>69.400000000000006</v>
      </c>
      <c r="E52" s="122">
        <v>19</v>
      </c>
      <c r="F52" s="124">
        <v>30.6</v>
      </c>
      <c r="G52" s="122">
        <v>0</v>
      </c>
      <c r="H52" s="125">
        <v>0</v>
      </c>
      <c r="I52" s="165">
        <f t="shared" si="1"/>
        <v>100</v>
      </c>
      <c r="L52" s="264"/>
      <c r="M52" s="264"/>
      <c r="N52" s="264"/>
      <c r="O52" s="264"/>
      <c r="P52" s="264"/>
      <c r="Q52" s="264"/>
      <c r="R52" s="264"/>
      <c r="S52" s="264"/>
      <c r="U52" s="160"/>
      <c r="V52" s="161"/>
      <c r="W52" s="162"/>
      <c r="Z52" s="161"/>
      <c r="AA52" s="162"/>
    </row>
    <row r="53" spans="1:27" ht="21" thickBot="1">
      <c r="A53" s="175" t="s">
        <v>268</v>
      </c>
      <c r="B53" s="122">
        <v>3</v>
      </c>
      <c r="C53" s="122">
        <v>3</v>
      </c>
      <c r="D53" s="178">
        <v>100</v>
      </c>
      <c r="E53" s="122">
        <v>0</v>
      </c>
      <c r="F53" s="124">
        <v>0</v>
      </c>
      <c r="G53" s="122">
        <v>0</v>
      </c>
      <c r="H53" s="125">
        <v>0</v>
      </c>
      <c r="I53" s="165">
        <f t="shared" si="1"/>
        <v>100</v>
      </c>
      <c r="L53" s="264"/>
      <c r="M53" s="264"/>
      <c r="N53" s="264"/>
      <c r="O53" s="264"/>
      <c r="P53" s="264"/>
      <c r="Q53" s="264"/>
      <c r="R53" s="264"/>
      <c r="S53" s="264"/>
      <c r="U53" s="160"/>
      <c r="V53" s="161"/>
      <c r="W53" s="162"/>
      <c r="Z53" s="161"/>
      <c r="AA53" s="162"/>
    </row>
    <row r="54" spans="1:27" ht="21.75" thickTop="1" thickBot="1">
      <c r="A54" s="177" t="s">
        <v>269</v>
      </c>
      <c r="B54" s="122">
        <v>141</v>
      </c>
      <c r="C54" s="122">
        <v>63</v>
      </c>
      <c r="D54" s="178">
        <v>44.7</v>
      </c>
      <c r="E54" s="122">
        <v>77</v>
      </c>
      <c r="F54" s="124">
        <v>54.6</v>
      </c>
      <c r="G54" s="122">
        <v>1</v>
      </c>
      <c r="H54" s="125">
        <v>0.7</v>
      </c>
      <c r="I54" s="165">
        <f t="shared" si="1"/>
        <v>100.00000000000001</v>
      </c>
      <c r="L54" s="264"/>
      <c r="M54" s="264"/>
      <c r="N54" s="264"/>
      <c r="O54" s="264"/>
      <c r="P54" s="264"/>
      <c r="Q54" s="264"/>
      <c r="R54" s="264"/>
      <c r="S54" s="264"/>
      <c r="U54" s="160"/>
      <c r="V54" s="161"/>
      <c r="W54" s="162"/>
      <c r="Z54" s="161"/>
      <c r="AA54" s="161"/>
    </row>
    <row r="55" spans="1:27" ht="21" thickBot="1">
      <c r="A55" s="175" t="s">
        <v>270</v>
      </c>
      <c r="B55" s="122">
        <v>7</v>
      </c>
      <c r="C55" s="122">
        <v>7</v>
      </c>
      <c r="D55" s="178">
        <v>100</v>
      </c>
      <c r="E55" s="122">
        <v>0</v>
      </c>
      <c r="F55" s="124">
        <v>0</v>
      </c>
      <c r="G55" s="122">
        <v>0</v>
      </c>
      <c r="H55" s="125">
        <v>0</v>
      </c>
      <c r="I55" s="165">
        <f t="shared" si="1"/>
        <v>100</v>
      </c>
      <c r="L55" s="264"/>
      <c r="M55" s="264"/>
      <c r="N55" s="264"/>
      <c r="O55" s="264"/>
      <c r="P55" s="264"/>
      <c r="Q55" s="264"/>
      <c r="R55" s="264"/>
      <c r="S55" s="264"/>
      <c r="U55" s="160"/>
      <c r="V55" s="161"/>
      <c r="W55" s="162"/>
      <c r="Z55" s="161"/>
      <c r="AA55" s="162"/>
    </row>
    <row r="56" spans="1:27" ht="62.25" thickTop="1" thickBot="1">
      <c r="A56" s="177" t="s">
        <v>271</v>
      </c>
      <c r="B56" s="122">
        <v>29</v>
      </c>
      <c r="C56" s="122">
        <v>28</v>
      </c>
      <c r="D56" s="178">
        <v>96.6</v>
      </c>
      <c r="E56" s="122">
        <v>1</v>
      </c>
      <c r="F56" s="124">
        <v>3.4</v>
      </c>
      <c r="G56" s="122">
        <v>0</v>
      </c>
      <c r="H56" s="125">
        <v>0</v>
      </c>
      <c r="I56" s="165">
        <f t="shared" si="1"/>
        <v>100</v>
      </c>
      <c r="L56" s="264"/>
      <c r="M56" s="264"/>
      <c r="N56" s="264"/>
      <c r="O56" s="264"/>
      <c r="P56" s="264"/>
      <c r="Q56" s="264"/>
      <c r="R56" s="264"/>
      <c r="S56" s="264"/>
      <c r="U56" s="160"/>
      <c r="V56" s="161"/>
      <c r="W56" s="161"/>
      <c r="Z56" s="161"/>
      <c r="AA56" s="161"/>
    </row>
    <row r="57" spans="1:27" ht="21" thickBot="1">
      <c r="A57" s="175" t="s">
        <v>272</v>
      </c>
      <c r="B57" s="122">
        <v>1</v>
      </c>
      <c r="C57" s="122">
        <v>1</v>
      </c>
      <c r="D57" s="178">
        <v>100</v>
      </c>
      <c r="E57" s="122">
        <v>0</v>
      </c>
      <c r="F57" s="124">
        <v>0</v>
      </c>
      <c r="G57" s="122">
        <v>0</v>
      </c>
      <c r="H57" s="125">
        <v>0</v>
      </c>
      <c r="I57" s="165">
        <f t="shared" si="1"/>
        <v>100</v>
      </c>
      <c r="L57" s="264"/>
      <c r="M57" s="264"/>
      <c r="N57" s="264"/>
      <c r="O57" s="264"/>
      <c r="P57" s="264"/>
      <c r="Q57" s="264"/>
      <c r="R57" s="264"/>
      <c r="S57" s="264"/>
      <c r="U57" s="160"/>
      <c r="V57" s="161"/>
      <c r="W57" s="162"/>
      <c r="Z57" s="161"/>
      <c r="AA57" s="162"/>
    </row>
    <row r="58" spans="1:27" ht="62.25" thickTop="1" thickBot="1">
      <c r="A58" s="177" t="s">
        <v>273</v>
      </c>
      <c r="B58" s="122">
        <v>1</v>
      </c>
      <c r="C58" s="122">
        <v>1</v>
      </c>
      <c r="D58" s="178">
        <v>100</v>
      </c>
      <c r="E58" s="122">
        <v>0</v>
      </c>
      <c r="F58" s="124">
        <v>0</v>
      </c>
      <c r="G58" s="122">
        <v>0</v>
      </c>
      <c r="H58" s="125">
        <v>0</v>
      </c>
      <c r="I58" s="165">
        <f t="shared" si="1"/>
        <v>100</v>
      </c>
      <c r="L58" s="264"/>
      <c r="M58" s="264"/>
      <c r="N58" s="264"/>
      <c r="O58" s="264"/>
      <c r="P58" s="264"/>
      <c r="Q58" s="264"/>
      <c r="R58" s="264"/>
      <c r="S58" s="264"/>
      <c r="U58" s="160"/>
      <c r="V58" s="161"/>
      <c r="W58" s="162"/>
      <c r="Z58" s="161"/>
      <c r="AA58" s="162"/>
    </row>
    <row r="59" spans="1:27" ht="21" thickBot="1">
      <c r="A59" s="175" t="s">
        <v>274</v>
      </c>
      <c r="B59" s="122">
        <v>16</v>
      </c>
      <c r="C59" s="122">
        <v>16</v>
      </c>
      <c r="D59" s="178">
        <v>100</v>
      </c>
      <c r="E59" s="122">
        <v>0</v>
      </c>
      <c r="F59" s="124">
        <v>0</v>
      </c>
      <c r="G59" s="122">
        <v>0</v>
      </c>
      <c r="H59" s="125">
        <v>0</v>
      </c>
      <c r="I59" s="165">
        <f t="shared" si="1"/>
        <v>100</v>
      </c>
      <c r="L59" s="264"/>
      <c r="M59" s="264"/>
      <c r="N59" s="264"/>
      <c r="O59" s="264"/>
      <c r="P59" s="264"/>
      <c r="Q59" s="264"/>
      <c r="R59" s="264"/>
      <c r="S59" s="264"/>
      <c r="U59" s="160"/>
      <c r="V59" s="161"/>
      <c r="W59" s="162"/>
      <c r="Z59" s="161"/>
      <c r="AA59" s="162"/>
    </row>
    <row r="60" spans="1:27" ht="42" thickTop="1" thickBot="1">
      <c r="A60" s="177" t="s">
        <v>275</v>
      </c>
      <c r="B60" s="122">
        <v>15</v>
      </c>
      <c r="C60" s="122">
        <v>15</v>
      </c>
      <c r="D60" s="178">
        <v>100</v>
      </c>
      <c r="E60" s="122">
        <v>0</v>
      </c>
      <c r="F60" s="124">
        <v>0</v>
      </c>
      <c r="G60" s="122">
        <v>0</v>
      </c>
      <c r="H60" s="125">
        <v>0</v>
      </c>
      <c r="I60" s="165">
        <f t="shared" si="1"/>
        <v>100</v>
      </c>
      <c r="L60" s="264"/>
      <c r="M60" s="264"/>
      <c r="N60" s="264"/>
      <c r="O60" s="264"/>
      <c r="P60" s="264"/>
      <c r="Q60" s="264"/>
      <c r="R60" s="264"/>
      <c r="S60" s="264"/>
      <c r="U60" s="160"/>
      <c r="V60" s="161"/>
      <c r="W60" s="162"/>
      <c r="Z60" s="161"/>
      <c r="AA60" s="162"/>
    </row>
    <row r="61" spans="1:27" ht="21" thickBot="1">
      <c r="A61" s="175" t="s">
        <v>276</v>
      </c>
      <c r="B61" s="122">
        <v>12</v>
      </c>
      <c r="C61" s="122">
        <v>6</v>
      </c>
      <c r="D61" s="178">
        <v>50</v>
      </c>
      <c r="E61" s="122">
        <v>6</v>
      </c>
      <c r="F61" s="124">
        <v>50</v>
      </c>
      <c r="G61" s="122">
        <v>0</v>
      </c>
      <c r="H61" s="125">
        <v>0</v>
      </c>
      <c r="I61" s="165">
        <f t="shared" si="1"/>
        <v>100</v>
      </c>
      <c r="L61" s="264"/>
      <c r="M61" s="264"/>
      <c r="N61" s="264"/>
      <c r="O61" s="264"/>
      <c r="P61" s="264"/>
      <c r="Q61" s="264"/>
      <c r="R61" s="264"/>
      <c r="S61" s="264"/>
      <c r="U61" s="160"/>
      <c r="V61" s="161"/>
      <c r="W61" s="162"/>
      <c r="Z61" s="162"/>
      <c r="AA61" s="161"/>
    </row>
    <row r="62" spans="1:27" ht="42" thickTop="1" thickBot="1">
      <c r="A62" s="177" t="s">
        <v>277</v>
      </c>
      <c r="B62" s="122">
        <v>1</v>
      </c>
      <c r="C62" s="122">
        <v>1</v>
      </c>
      <c r="D62" s="178">
        <v>100</v>
      </c>
      <c r="E62" s="122">
        <v>0</v>
      </c>
      <c r="F62" s="124">
        <v>0</v>
      </c>
      <c r="G62" s="122">
        <v>0</v>
      </c>
      <c r="H62" s="125">
        <v>0</v>
      </c>
      <c r="I62" s="165">
        <f t="shared" si="1"/>
        <v>100</v>
      </c>
      <c r="L62" s="264"/>
      <c r="M62" s="264"/>
      <c r="N62" s="264"/>
      <c r="O62" s="264"/>
      <c r="P62" s="264"/>
      <c r="Q62" s="264"/>
      <c r="R62" s="264"/>
      <c r="S62" s="264"/>
      <c r="U62" s="160"/>
      <c r="V62" s="161"/>
      <c r="W62" s="162"/>
      <c r="Z62" s="161"/>
      <c r="AA62" s="161"/>
    </row>
    <row r="63" spans="1:27" ht="21" thickBot="1">
      <c r="A63" s="175" t="s">
        <v>278</v>
      </c>
      <c r="B63" s="122">
        <v>150</v>
      </c>
      <c r="C63" s="122">
        <v>81</v>
      </c>
      <c r="D63" s="178">
        <v>54</v>
      </c>
      <c r="E63" s="122">
        <v>69</v>
      </c>
      <c r="F63" s="124">
        <v>46</v>
      </c>
      <c r="G63" s="122">
        <v>0</v>
      </c>
      <c r="H63" s="125">
        <v>0</v>
      </c>
      <c r="I63" s="165">
        <f t="shared" si="1"/>
        <v>100</v>
      </c>
      <c r="L63" s="264"/>
      <c r="M63" s="264"/>
      <c r="N63" s="264"/>
      <c r="O63" s="264"/>
      <c r="P63" s="264"/>
      <c r="Q63" s="264"/>
      <c r="R63" s="264"/>
      <c r="S63" s="264"/>
      <c r="U63" s="160"/>
      <c r="V63" s="161"/>
      <c r="W63" s="162"/>
      <c r="Z63" s="161"/>
      <c r="AA63" s="161"/>
    </row>
    <row r="64" spans="1:27" ht="21.75" thickTop="1" thickBot="1">
      <c r="A64" s="177" t="s">
        <v>279</v>
      </c>
      <c r="B64" s="122">
        <v>9</v>
      </c>
      <c r="C64" s="122">
        <v>8</v>
      </c>
      <c r="D64" s="178">
        <v>88.9</v>
      </c>
      <c r="E64" s="122">
        <v>1</v>
      </c>
      <c r="F64" s="124">
        <v>11.1</v>
      </c>
      <c r="G64" s="122">
        <v>0</v>
      </c>
      <c r="H64" s="125">
        <v>0</v>
      </c>
      <c r="I64" s="165">
        <f t="shared" si="1"/>
        <v>100</v>
      </c>
      <c r="L64" s="264"/>
      <c r="M64" s="264"/>
      <c r="N64" s="264"/>
      <c r="O64" s="264"/>
      <c r="P64" s="264"/>
      <c r="Q64" s="264"/>
      <c r="R64" s="264"/>
      <c r="S64" s="264"/>
      <c r="U64" s="160"/>
      <c r="V64" s="161"/>
      <c r="W64" s="162"/>
      <c r="Z64" s="161"/>
      <c r="AA64" s="161"/>
    </row>
    <row r="65" spans="1:27" ht="21" thickBot="1">
      <c r="A65" s="319" t="s">
        <v>280</v>
      </c>
      <c r="B65" s="122">
        <v>1620</v>
      </c>
      <c r="C65" s="122">
        <v>971</v>
      </c>
      <c r="D65" s="122">
        <v>59.9</v>
      </c>
      <c r="E65" s="122">
        <v>640</v>
      </c>
      <c r="F65" s="122">
        <v>39.5</v>
      </c>
      <c r="G65" s="122">
        <v>9</v>
      </c>
      <c r="H65" s="122">
        <v>0.6</v>
      </c>
      <c r="I65" s="165">
        <f t="shared" si="1"/>
        <v>100</v>
      </c>
      <c r="L65" s="264"/>
      <c r="M65" s="264"/>
      <c r="N65" s="264"/>
      <c r="O65" s="264"/>
      <c r="P65" s="264"/>
      <c r="Q65" s="264"/>
      <c r="R65" s="264"/>
      <c r="S65" s="264"/>
      <c r="U65" s="160"/>
      <c r="V65" s="161"/>
      <c r="W65" s="162"/>
      <c r="Z65" s="161"/>
      <c r="AA65" s="162"/>
    </row>
    <row r="66" spans="1:27" ht="15.75" thickTop="1">
      <c r="A66" s="132"/>
      <c r="B66" s="132"/>
      <c r="C66" s="132"/>
      <c r="D66" s="132"/>
      <c r="E66" s="132"/>
      <c r="F66" s="132"/>
      <c r="G66" s="132"/>
      <c r="H66" s="132"/>
      <c r="I66" s="132"/>
      <c r="L66" s="264"/>
      <c r="M66" s="264"/>
      <c r="N66" s="264"/>
      <c r="O66" s="264"/>
      <c r="P66" s="264"/>
      <c r="Q66" s="264"/>
      <c r="R66" s="264"/>
      <c r="S66" s="264"/>
      <c r="U66" s="160"/>
      <c r="V66" s="161"/>
      <c r="W66" s="162"/>
      <c r="Z66" s="161"/>
      <c r="AA66" s="161"/>
    </row>
    <row r="67" spans="1:27" ht="15">
      <c r="A67" s="132"/>
      <c r="B67" s="132"/>
      <c r="C67" s="132"/>
      <c r="D67" s="132"/>
      <c r="E67" s="132"/>
      <c r="F67" s="132"/>
      <c r="G67" s="132"/>
      <c r="H67" s="132"/>
      <c r="I67" s="132"/>
      <c r="L67" s="264"/>
      <c r="M67" s="264"/>
      <c r="N67" s="264"/>
      <c r="O67" s="264"/>
      <c r="P67" s="264"/>
      <c r="Q67" s="264"/>
      <c r="R67" s="264"/>
      <c r="S67" s="264"/>
      <c r="U67" s="160"/>
      <c r="V67" s="161"/>
      <c r="W67" s="162"/>
      <c r="Z67" s="161"/>
      <c r="AA67" s="162"/>
    </row>
    <row r="68" spans="1:27" ht="15">
      <c r="A68" s="132"/>
      <c r="B68" s="132"/>
      <c r="C68" s="132"/>
      <c r="D68" s="132"/>
      <c r="E68" s="132"/>
      <c r="F68" s="132"/>
      <c r="G68" s="132"/>
      <c r="H68" s="132"/>
      <c r="I68" s="132"/>
      <c r="L68" s="264"/>
      <c r="M68" s="264"/>
      <c r="N68" s="264"/>
      <c r="O68" s="264"/>
      <c r="P68" s="264"/>
      <c r="Q68" s="264"/>
      <c r="R68" s="264"/>
      <c r="S68" s="264"/>
      <c r="U68" s="160"/>
      <c r="V68" s="161"/>
      <c r="W68" s="162"/>
      <c r="Z68" s="161"/>
      <c r="AA68" s="161"/>
    </row>
    <row r="69" spans="1:27" ht="15">
      <c r="A69" s="132"/>
      <c r="B69" s="132"/>
      <c r="C69" s="132"/>
      <c r="D69" s="132"/>
      <c r="E69" s="132"/>
      <c r="F69" s="132"/>
      <c r="G69" s="132"/>
      <c r="H69" s="132"/>
      <c r="I69" s="132"/>
      <c r="L69" s="264"/>
      <c r="M69" s="264"/>
      <c r="N69" s="264"/>
      <c r="O69" s="264"/>
      <c r="P69" s="264"/>
      <c r="Q69" s="264"/>
      <c r="R69" s="264"/>
      <c r="S69" s="264"/>
      <c r="U69" s="160"/>
      <c r="V69" s="161"/>
      <c r="W69" s="162"/>
      <c r="Z69" s="161"/>
      <c r="AA69" s="162"/>
    </row>
    <row r="70" spans="1:27" ht="15">
      <c r="A70" s="132"/>
      <c r="B70" s="132"/>
      <c r="C70" s="132"/>
      <c r="D70" s="132"/>
      <c r="E70" s="132"/>
      <c r="F70" s="132"/>
      <c r="G70" s="132"/>
      <c r="H70" s="132"/>
      <c r="I70" s="132"/>
      <c r="L70" s="264"/>
      <c r="M70" s="264"/>
      <c r="N70" s="264"/>
      <c r="O70" s="264"/>
      <c r="P70" s="264"/>
      <c r="Q70" s="264"/>
      <c r="R70" s="264"/>
      <c r="S70" s="264"/>
      <c r="U70" s="160"/>
      <c r="V70" s="161"/>
      <c r="W70" s="162"/>
      <c r="Z70" s="161"/>
      <c r="AA70" s="162"/>
    </row>
    <row r="71" spans="1:27" ht="15">
      <c r="L71" s="264"/>
      <c r="M71" s="264"/>
      <c r="N71" s="264"/>
      <c r="O71" s="264"/>
      <c r="P71" s="264"/>
      <c r="Q71" s="264"/>
      <c r="R71" s="264"/>
      <c r="S71" s="264"/>
      <c r="U71" s="160"/>
      <c r="V71" s="161"/>
      <c r="W71" s="162"/>
      <c r="Z71" s="161"/>
      <c r="AA71" s="162"/>
    </row>
    <row r="72" spans="1:27" ht="15">
      <c r="A72" s="365"/>
      <c r="B72" s="365"/>
      <c r="C72" s="365"/>
      <c r="D72" s="365"/>
      <c r="E72" s="365"/>
      <c r="F72" s="365"/>
      <c r="G72" s="365"/>
      <c r="H72" s="365"/>
      <c r="I72" s="182"/>
      <c r="L72" s="264"/>
      <c r="M72" s="264"/>
      <c r="N72" s="264"/>
      <c r="O72" s="264"/>
      <c r="P72" s="264"/>
      <c r="Q72" s="264"/>
      <c r="R72" s="264"/>
      <c r="S72" s="264"/>
      <c r="U72" s="160"/>
      <c r="V72" s="161"/>
      <c r="W72" s="162"/>
      <c r="Z72" s="161"/>
      <c r="AA72" s="162"/>
    </row>
    <row r="73" spans="1:27" ht="15">
      <c r="L73" s="264"/>
      <c r="M73" s="264"/>
      <c r="N73" s="264"/>
      <c r="O73" s="264"/>
      <c r="P73" s="264"/>
      <c r="Q73" s="264"/>
      <c r="R73" s="264"/>
      <c r="S73" s="264"/>
      <c r="U73" s="160"/>
      <c r="V73" s="161"/>
      <c r="W73" s="162"/>
      <c r="Z73" s="161"/>
      <c r="AA73" s="162"/>
    </row>
    <row r="74" spans="1:27" ht="15">
      <c r="L74" s="264"/>
      <c r="M74" s="264"/>
      <c r="N74" s="264"/>
      <c r="O74" s="264"/>
      <c r="P74" s="264"/>
      <c r="Q74" s="264"/>
      <c r="R74" s="264"/>
      <c r="S74" s="264"/>
      <c r="U74" s="160"/>
      <c r="V74" s="161"/>
      <c r="W74" s="162"/>
      <c r="Z74" s="161"/>
      <c r="AA74" s="162"/>
    </row>
    <row r="75" spans="1:27" ht="21" customHeight="1">
      <c r="A75" s="365"/>
      <c r="B75" s="365"/>
      <c r="C75" s="365"/>
      <c r="D75" s="365"/>
      <c r="E75" s="365"/>
      <c r="F75" s="365"/>
      <c r="G75" s="365"/>
      <c r="H75" s="365"/>
      <c r="I75" s="182"/>
      <c r="L75" s="264"/>
      <c r="M75" s="264"/>
      <c r="N75" s="264"/>
      <c r="O75" s="264"/>
      <c r="P75" s="264"/>
      <c r="Q75" s="264"/>
      <c r="R75" s="264"/>
      <c r="S75" s="264"/>
      <c r="U75" s="160"/>
      <c r="V75" s="161"/>
      <c r="W75" s="162"/>
      <c r="Z75" s="161"/>
      <c r="AA75" s="162"/>
    </row>
    <row r="76" spans="1:27" ht="15">
      <c r="L76" s="264"/>
      <c r="M76" s="264"/>
      <c r="N76" s="264"/>
      <c r="O76" s="264"/>
      <c r="P76" s="264"/>
      <c r="Q76" s="264"/>
      <c r="R76" s="264"/>
      <c r="S76" s="264"/>
      <c r="U76" s="160"/>
      <c r="V76" s="161"/>
      <c r="W76" s="162"/>
      <c r="Z76" s="161"/>
      <c r="AA76" s="162"/>
    </row>
    <row r="77" spans="1:27" ht="15">
      <c r="L77" s="264"/>
      <c r="M77" s="264"/>
      <c r="N77" s="264"/>
      <c r="O77" s="264"/>
      <c r="P77" s="264"/>
      <c r="Q77" s="264"/>
      <c r="R77" s="264"/>
      <c r="S77" s="264"/>
      <c r="U77" s="160"/>
      <c r="V77" s="161"/>
      <c r="W77" s="162"/>
      <c r="Z77" s="161"/>
      <c r="AA77" s="162"/>
    </row>
    <row r="78" spans="1:27" ht="15">
      <c r="L78" s="264"/>
      <c r="M78" s="264"/>
      <c r="N78" s="264"/>
      <c r="O78" s="264"/>
      <c r="P78" s="264"/>
      <c r="Q78" s="264"/>
      <c r="R78" s="264"/>
      <c r="S78" s="264"/>
      <c r="U78" s="160"/>
      <c r="V78" s="161"/>
      <c r="W78" s="162"/>
      <c r="Z78" s="161"/>
      <c r="AA78" s="161"/>
    </row>
    <row r="79" spans="1:27" ht="15">
      <c r="L79" s="264"/>
      <c r="M79" s="264"/>
      <c r="N79" s="264"/>
      <c r="O79" s="264"/>
      <c r="P79" s="264"/>
      <c r="Q79" s="264"/>
      <c r="R79" s="264"/>
      <c r="S79" s="264"/>
      <c r="U79" s="160"/>
      <c r="V79" s="161"/>
      <c r="W79" s="162"/>
      <c r="Z79" s="161"/>
      <c r="AA79" s="162"/>
    </row>
    <row r="80" spans="1:27" ht="15">
      <c r="L80" s="264"/>
      <c r="M80" s="264"/>
      <c r="N80" s="264"/>
      <c r="O80" s="264"/>
      <c r="P80" s="264"/>
      <c r="Q80" s="264"/>
      <c r="R80" s="264"/>
      <c r="S80" s="264"/>
      <c r="U80" s="160"/>
      <c r="V80" s="161"/>
      <c r="W80" s="161"/>
      <c r="Z80" s="161"/>
      <c r="AA80" s="161"/>
    </row>
    <row r="81" spans="1:27" ht="15">
      <c r="L81" s="264"/>
      <c r="M81" s="264"/>
      <c r="N81" s="264"/>
      <c r="O81" s="264"/>
      <c r="P81" s="264"/>
      <c r="Q81" s="264"/>
      <c r="R81" s="264"/>
      <c r="S81" s="264"/>
      <c r="U81" s="160"/>
      <c r="V81" s="161"/>
      <c r="W81" s="162"/>
      <c r="Z81" s="161"/>
      <c r="AA81" s="162"/>
    </row>
    <row r="82" spans="1:27" ht="15">
      <c r="L82" s="264"/>
      <c r="M82" s="264"/>
      <c r="N82" s="264"/>
      <c r="O82" s="264"/>
      <c r="P82" s="264"/>
      <c r="Q82" s="264"/>
      <c r="R82" s="264"/>
      <c r="S82" s="264"/>
      <c r="U82" s="160"/>
      <c r="V82" s="161"/>
      <c r="W82" s="162"/>
      <c r="Z82" s="161"/>
      <c r="AA82" s="162"/>
    </row>
    <row r="83" spans="1:27" ht="15">
      <c r="L83" s="264"/>
      <c r="M83" s="264"/>
      <c r="N83" s="264"/>
      <c r="O83" s="264"/>
      <c r="P83" s="264"/>
      <c r="Q83" s="264"/>
      <c r="R83" s="264"/>
      <c r="S83" s="264"/>
      <c r="U83" s="160"/>
      <c r="V83" s="161"/>
      <c r="W83" s="162"/>
      <c r="Z83" s="161"/>
      <c r="AA83" s="162"/>
    </row>
    <row r="84" spans="1:27" ht="15">
      <c r="L84" s="264"/>
      <c r="M84" s="264"/>
      <c r="N84" s="264"/>
      <c r="O84" s="264"/>
      <c r="P84" s="264"/>
      <c r="Q84" s="264"/>
      <c r="R84" s="264"/>
      <c r="S84" s="264"/>
      <c r="U84" s="160"/>
      <c r="V84" s="161"/>
      <c r="W84" s="162"/>
      <c r="Z84" s="161"/>
      <c r="AA84" s="162"/>
    </row>
    <row r="85" spans="1:27" ht="15">
      <c r="L85" s="264"/>
      <c r="M85" s="264"/>
      <c r="N85" s="264"/>
      <c r="O85" s="264"/>
      <c r="P85" s="264"/>
      <c r="Q85" s="264"/>
      <c r="R85" s="264"/>
      <c r="S85" s="264"/>
      <c r="U85" s="160"/>
      <c r="V85" s="161"/>
      <c r="W85" s="162"/>
      <c r="Z85" s="161"/>
      <c r="AA85" s="162"/>
    </row>
    <row r="86" spans="1:27" ht="15">
      <c r="L86" s="264"/>
      <c r="M86" s="264"/>
      <c r="N86" s="264"/>
      <c r="O86" s="264"/>
      <c r="P86" s="264"/>
      <c r="Q86" s="264"/>
      <c r="R86" s="264"/>
      <c r="S86" s="264"/>
      <c r="U86" s="160"/>
      <c r="V86" s="161"/>
      <c r="W86" s="162"/>
      <c r="Z86" s="161"/>
      <c r="AA86" s="161"/>
    </row>
    <row r="87" spans="1:27" ht="15">
      <c r="L87" s="264"/>
      <c r="M87" s="264"/>
      <c r="N87" s="264"/>
      <c r="O87" s="264"/>
      <c r="P87" s="264"/>
      <c r="Q87" s="264"/>
      <c r="R87" s="264"/>
      <c r="S87" s="264"/>
      <c r="U87" s="160"/>
      <c r="V87" s="161"/>
      <c r="W87" s="162"/>
      <c r="Z87" s="161"/>
      <c r="AA87" s="162"/>
    </row>
    <row r="88" spans="1:27" ht="15">
      <c r="L88" s="264"/>
      <c r="M88" s="264"/>
      <c r="N88" s="264"/>
      <c r="O88" s="264"/>
      <c r="P88" s="264"/>
      <c r="Q88" s="264"/>
      <c r="R88" s="264"/>
      <c r="S88" s="264"/>
      <c r="U88" s="160"/>
      <c r="V88" s="161"/>
      <c r="W88" s="162"/>
      <c r="Z88" s="161"/>
      <c r="AA88" s="162"/>
    </row>
    <row r="89" spans="1:27" ht="15">
      <c r="A89" s="377"/>
      <c r="B89" s="377"/>
      <c r="C89" s="377"/>
      <c r="D89" s="377"/>
      <c r="E89" s="377"/>
      <c r="F89" s="377"/>
      <c r="G89" s="377"/>
      <c r="H89" s="377"/>
      <c r="I89" s="181"/>
      <c r="L89" s="264"/>
      <c r="M89" s="264"/>
      <c r="N89" s="264"/>
      <c r="O89" s="264"/>
      <c r="P89" s="264"/>
      <c r="Q89" s="264"/>
      <c r="R89" s="264"/>
      <c r="S89" s="264"/>
      <c r="U89" s="160"/>
      <c r="V89" s="161"/>
      <c r="W89" s="162"/>
      <c r="Z89" s="161"/>
      <c r="AA89" s="162"/>
    </row>
    <row r="90" spans="1:27" ht="15">
      <c r="A90" s="132"/>
      <c r="B90" s="132"/>
      <c r="C90" s="132"/>
      <c r="D90" s="132"/>
      <c r="E90" s="132"/>
      <c r="F90" s="132"/>
      <c r="G90" s="132"/>
      <c r="H90" s="132"/>
      <c r="I90" s="132"/>
      <c r="U90" s="160"/>
      <c r="V90" s="161"/>
      <c r="W90" s="162"/>
      <c r="Z90" s="161"/>
      <c r="AA90" s="161"/>
    </row>
    <row r="91" spans="1:27" ht="15">
      <c r="A91" s="132"/>
      <c r="B91" s="132"/>
      <c r="C91" s="132"/>
      <c r="D91" s="132"/>
      <c r="E91" s="132"/>
      <c r="F91" s="132"/>
      <c r="G91" s="132"/>
      <c r="H91" s="132"/>
      <c r="I91" s="132"/>
      <c r="U91" s="160"/>
      <c r="V91" s="161"/>
      <c r="W91" s="162"/>
      <c r="Z91" s="161"/>
      <c r="AA91" s="161"/>
    </row>
    <row r="92" spans="1:27" ht="15">
      <c r="A92" s="132"/>
      <c r="B92" s="132"/>
      <c r="C92" s="132"/>
      <c r="D92" s="132"/>
      <c r="E92" s="132"/>
      <c r="F92" s="132"/>
      <c r="G92" s="132"/>
      <c r="H92" s="132"/>
      <c r="I92" s="132"/>
      <c r="U92" s="160"/>
      <c r="V92" s="161"/>
      <c r="W92" s="162"/>
      <c r="Z92" s="161"/>
      <c r="AA92" s="161"/>
    </row>
    <row r="93" spans="1:27" ht="15">
      <c r="A93" s="132"/>
      <c r="B93" s="132"/>
      <c r="C93" s="132"/>
      <c r="D93" s="132"/>
      <c r="E93" s="132"/>
      <c r="F93" s="132"/>
      <c r="G93" s="132"/>
      <c r="H93" s="132"/>
      <c r="I93" s="132"/>
      <c r="U93" s="160"/>
      <c r="V93" s="161"/>
      <c r="W93" s="162"/>
      <c r="Z93" s="161"/>
      <c r="AA93" s="162"/>
    </row>
    <row r="94" spans="1:27" ht="15">
      <c r="A94" s="132"/>
      <c r="B94" s="132"/>
      <c r="C94" s="132"/>
      <c r="D94" s="132"/>
      <c r="E94" s="132"/>
      <c r="F94" s="132"/>
      <c r="G94" s="132"/>
      <c r="H94" s="132"/>
      <c r="I94" s="132"/>
      <c r="U94" s="160"/>
      <c r="V94" s="161"/>
      <c r="W94" s="162"/>
      <c r="Z94" s="161"/>
      <c r="AA94" s="161"/>
    </row>
    <row r="95" spans="1:27" ht="15">
      <c r="A95" s="132"/>
      <c r="B95" s="132"/>
      <c r="C95" s="132"/>
      <c r="D95" s="132"/>
      <c r="E95" s="132"/>
      <c r="F95" s="132"/>
      <c r="G95" s="132"/>
      <c r="H95" s="132"/>
      <c r="I95" s="132"/>
      <c r="U95" s="160"/>
      <c r="V95" s="161"/>
      <c r="W95" s="162"/>
      <c r="Z95" s="161"/>
      <c r="AA95" s="161"/>
    </row>
    <row r="97" spans="1:9" ht="15">
      <c r="A97" s="365"/>
      <c r="B97" s="365"/>
      <c r="C97" s="365"/>
      <c r="D97" s="365"/>
      <c r="E97" s="365"/>
      <c r="F97" s="365"/>
      <c r="G97" s="365"/>
      <c r="H97" s="365"/>
      <c r="I97" s="182"/>
    </row>
  </sheetData>
  <sheetProtection selectLockedCells="1" selectUnlockedCells="1"/>
  <mergeCells count="12">
    <mergeCell ref="A89:H89"/>
    <mergeCell ref="A97:H97"/>
    <mergeCell ref="A72:H72"/>
    <mergeCell ref="A75:H75"/>
    <mergeCell ref="A1:H1"/>
    <mergeCell ref="A2:H2"/>
    <mergeCell ref="A3:H3"/>
    <mergeCell ref="A5:H5"/>
    <mergeCell ref="B6:B7"/>
    <mergeCell ref="C6:F6"/>
    <mergeCell ref="G6:G7"/>
    <mergeCell ref="H6:H7"/>
  </mergeCells>
  <printOptions horizontalCentered="1" verticalCentered="1"/>
  <pageMargins left="0.23622047244094491" right="0.23622047244094491" top="0.82677165354330717" bottom="0.78740157480314965" header="0.51181102362204722" footer="0.15748031496062992"/>
  <pageSetup paperSize="9" scale="45" firstPageNumber="0" orientation="landscape" verticalDpi="300" r:id="rId1"/>
  <headerFooter scaleWithDoc="0" alignWithMargins="0">
    <oddFooter>&amp;R&amp;"Verdana,Normale"&amp;8MINISTERO DELLA SALUTE  Direzione Generale per l'Igiene e la Sicurezza degli Alimenti e la NutrizionePagina  130</oddFooter>
  </headerFooter>
  <rowBreaks count="2" manualBreakCount="2">
    <brk id="49" max="16383" man="1"/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83"/>
  <sheetViews>
    <sheetView view="pageBreakPreview" topLeftCell="A7" zoomScale="55" zoomScaleNormal="55" zoomScaleSheetLayoutView="55" workbookViewId="0">
      <selection activeCell="C14" sqref="C14"/>
    </sheetView>
  </sheetViews>
  <sheetFormatPr defaultColWidth="9.140625" defaultRowHeight="23.25"/>
  <cols>
    <col min="1" max="1" width="12.7109375" style="32" customWidth="1"/>
    <col min="2" max="2" width="37" style="183" customWidth="1"/>
    <col min="3" max="3" width="14.85546875" style="32" customWidth="1"/>
    <col min="4" max="4" width="18" style="32" customWidth="1"/>
    <col min="5" max="5" width="21" style="32" customWidth="1"/>
    <col min="6" max="6" width="23.42578125" style="32" customWidth="1"/>
    <col min="7" max="7" width="20.28515625" style="32" customWidth="1"/>
    <col min="8" max="8" width="20.7109375" style="32" customWidth="1"/>
    <col min="9" max="9" width="18.140625" style="32" customWidth="1"/>
    <col min="10" max="10" width="12.7109375" style="32" customWidth="1"/>
    <col min="11" max="14" width="9.140625" style="32"/>
    <col min="15" max="16" width="19.5703125" style="32" customWidth="1"/>
    <col min="17" max="18" width="19" style="243" customWidth="1"/>
    <col min="19" max="20" width="19" style="32" customWidth="1"/>
    <col min="21" max="21" width="19.5703125" style="32" customWidth="1"/>
    <col min="22" max="22" width="19" style="32" customWidth="1"/>
    <col min="23" max="23" width="19" style="243" customWidth="1"/>
    <col min="24" max="24" width="18.7109375" style="32" customWidth="1"/>
    <col min="25" max="25" width="18.7109375" style="243" customWidth="1"/>
    <col min="26" max="31" width="19" style="32" customWidth="1"/>
    <col min="32" max="33" width="20.42578125" style="32" customWidth="1"/>
    <col min="34" max="34" width="21.7109375" style="32" customWidth="1"/>
    <col min="35" max="16384" width="9.140625" style="32"/>
  </cols>
  <sheetData>
    <row r="1" spans="2:34" ht="33.75" customHeight="1">
      <c r="B1" s="366" t="s">
        <v>184</v>
      </c>
      <c r="C1" s="366"/>
      <c r="D1" s="366"/>
      <c r="E1" s="366"/>
      <c r="F1" s="366"/>
      <c r="G1" s="366"/>
      <c r="H1" s="366"/>
      <c r="I1" s="366"/>
      <c r="J1" s="92"/>
    </row>
    <row r="2" spans="2:34" ht="26.25">
      <c r="B2" s="366" t="s">
        <v>132</v>
      </c>
      <c r="C2" s="366"/>
      <c r="D2" s="366"/>
      <c r="E2" s="366"/>
      <c r="F2" s="366"/>
      <c r="G2" s="366"/>
      <c r="H2" s="366"/>
      <c r="I2" s="366"/>
    </row>
    <row r="3" spans="2:34" ht="26.25">
      <c r="B3" s="366" t="s">
        <v>201</v>
      </c>
      <c r="C3" s="366"/>
      <c r="D3" s="366"/>
      <c r="E3" s="366"/>
      <c r="F3" s="366"/>
      <c r="G3" s="366"/>
      <c r="H3" s="366"/>
      <c r="I3" s="366"/>
    </row>
    <row r="4" spans="2:34" ht="26.25">
      <c r="B4" s="37"/>
      <c r="C4" s="37"/>
      <c r="D4" s="37"/>
      <c r="E4" s="37"/>
      <c r="F4" s="37"/>
      <c r="G4" s="37"/>
      <c r="H4" s="37"/>
      <c r="I4" s="37"/>
    </row>
    <row r="5" spans="2:34" ht="22.5">
      <c r="B5" s="367" t="s">
        <v>139</v>
      </c>
      <c r="C5" s="367"/>
      <c r="D5" s="367"/>
      <c r="E5" s="367"/>
      <c r="F5" s="367"/>
      <c r="G5" s="367"/>
      <c r="H5" s="367"/>
      <c r="I5" s="367"/>
    </row>
    <row r="6" spans="2:34" ht="21" customHeight="1" thickBot="1">
      <c r="C6" s="93"/>
      <c r="D6" s="93"/>
      <c r="E6" s="93"/>
      <c r="F6" s="93"/>
      <c r="G6" s="93"/>
      <c r="H6" s="93"/>
      <c r="I6" s="93"/>
    </row>
    <row r="7" spans="2:34" ht="39.75" customHeight="1" thickTop="1" thickBot="1">
      <c r="B7" s="368" t="s">
        <v>0</v>
      </c>
      <c r="C7" s="398" t="s">
        <v>1</v>
      </c>
      <c r="D7" s="399" t="s">
        <v>2</v>
      </c>
      <c r="E7" s="399"/>
      <c r="F7" s="399"/>
      <c r="G7" s="399"/>
      <c r="H7" s="400" t="s">
        <v>3</v>
      </c>
      <c r="I7" s="402" t="s">
        <v>4</v>
      </c>
      <c r="O7" s="306"/>
      <c r="P7" s="307"/>
      <c r="Q7" s="309"/>
      <c r="R7" s="309"/>
      <c r="S7" s="307"/>
      <c r="T7" s="307"/>
      <c r="U7" s="307"/>
      <c r="V7" s="307"/>
      <c r="W7" s="309"/>
      <c r="X7" s="307"/>
      <c r="Y7" s="309"/>
      <c r="Z7" s="307"/>
      <c r="AA7" s="308"/>
      <c r="AB7" s="246"/>
      <c r="AC7" s="246"/>
      <c r="AD7" s="246"/>
      <c r="AE7" s="184"/>
      <c r="AF7" s="184"/>
      <c r="AG7" s="185"/>
      <c r="AH7" s="185"/>
    </row>
    <row r="8" spans="2:34" ht="87" customHeight="1" thickTop="1" thickBot="1">
      <c r="B8" s="368"/>
      <c r="C8" s="398"/>
      <c r="D8" s="186" t="s">
        <v>5</v>
      </c>
      <c r="E8" s="187" t="s">
        <v>6</v>
      </c>
      <c r="F8" s="188" t="s">
        <v>7</v>
      </c>
      <c r="G8" s="189" t="s">
        <v>8</v>
      </c>
      <c r="H8" s="401"/>
      <c r="I8" s="402"/>
      <c r="J8" s="98"/>
      <c r="M8" s="99"/>
      <c r="O8" s="320" t="s">
        <v>214</v>
      </c>
      <c r="P8" s="321"/>
      <c r="Q8" s="322"/>
      <c r="R8" s="321"/>
      <c r="S8" s="321"/>
      <c r="T8" s="321"/>
      <c r="U8" s="321"/>
      <c r="V8" s="290"/>
      <c r="W8" s="313"/>
      <c r="X8" s="290"/>
      <c r="Y8" s="313"/>
      <c r="Z8" s="302"/>
      <c r="AA8" s="294"/>
      <c r="AB8" s="247"/>
      <c r="AC8" s="247"/>
      <c r="AD8" s="247"/>
      <c r="AE8" s="190"/>
      <c r="AF8" s="190"/>
      <c r="AG8" s="191"/>
      <c r="AH8" s="191"/>
    </row>
    <row r="9" spans="2:34" s="197" customFormat="1" ht="27.75" customHeight="1" thickTop="1" thickBot="1">
      <c r="B9" s="192" t="s">
        <v>9</v>
      </c>
      <c r="C9" s="101">
        <v>166</v>
      </c>
      <c r="D9" s="102">
        <v>86</v>
      </c>
      <c r="E9" s="103">
        <f>D9/C9*100</f>
        <v>51.807228915662648</v>
      </c>
      <c r="F9" s="102">
        <v>74</v>
      </c>
      <c r="G9" s="327">
        <f>F9/C9*100</f>
        <v>44.578313253012048</v>
      </c>
      <c r="H9" s="329">
        <v>6</v>
      </c>
      <c r="I9" s="328">
        <f>H9/C9*100</f>
        <v>3.6144578313253009</v>
      </c>
      <c r="J9" s="193"/>
      <c r="K9" s="194">
        <f>D9+F9+H9</f>
        <v>166</v>
      </c>
      <c r="L9" s="195">
        <f>E9+G9+I9</f>
        <v>100</v>
      </c>
      <c r="M9" s="196"/>
      <c r="O9" s="293" t="s">
        <v>17</v>
      </c>
      <c r="P9" s="324"/>
      <c r="Q9" s="294" t="s">
        <v>19</v>
      </c>
      <c r="R9" s="302"/>
      <c r="S9" s="290" t="s">
        <v>20</v>
      </c>
      <c r="T9" s="290"/>
      <c r="U9" s="290" t="s">
        <v>21</v>
      </c>
      <c r="V9" s="292"/>
      <c r="W9" s="314"/>
      <c r="X9" s="292"/>
      <c r="Y9" s="314"/>
      <c r="Z9" s="303"/>
      <c r="AA9" s="296"/>
      <c r="AB9" s="247"/>
      <c r="AC9" s="247"/>
      <c r="AD9" s="247"/>
      <c r="AE9" s="190"/>
      <c r="AF9" s="190"/>
      <c r="AG9" s="198"/>
      <c r="AH9" s="198"/>
    </row>
    <row r="10" spans="2:34" s="197" customFormat="1" ht="27.75" customHeight="1" thickBot="1">
      <c r="B10" s="199" t="s">
        <v>177</v>
      </c>
      <c r="C10" s="101">
        <v>410</v>
      </c>
      <c r="D10" s="111">
        <v>262</v>
      </c>
      <c r="E10" s="103">
        <f t="shared" ref="E10:E14" si="0">D10/C10*100</f>
        <v>63.902439024390247</v>
      </c>
      <c r="F10" s="111">
        <v>128</v>
      </c>
      <c r="G10" s="327">
        <f t="shared" ref="G10:G14" si="1">F10/C10*100</f>
        <v>31.219512195121951</v>
      </c>
      <c r="H10" s="102">
        <v>20</v>
      </c>
      <c r="I10" s="328">
        <f t="shared" ref="I10:I14" si="2">H10/C10*100</f>
        <v>4.8780487804878048</v>
      </c>
      <c r="J10" s="193"/>
      <c r="K10" s="194">
        <f t="shared" ref="K10:L15" si="3">D10+F10+H10</f>
        <v>410</v>
      </c>
      <c r="L10" s="195">
        <f t="shared" si="3"/>
        <v>100</v>
      </c>
      <c r="M10" s="200"/>
      <c r="O10" s="295" t="s">
        <v>23</v>
      </c>
      <c r="P10" s="323">
        <f>Q10+S10+U10</f>
        <v>166</v>
      </c>
      <c r="Q10" s="296">
        <v>86</v>
      </c>
      <c r="R10" s="303"/>
      <c r="S10" s="292">
        <v>74</v>
      </c>
      <c r="T10" s="292"/>
      <c r="U10" s="292">
        <v>6</v>
      </c>
      <c r="V10" s="292"/>
      <c r="W10" s="314"/>
      <c r="X10" s="292"/>
      <c r="Y10" s="314"/>
      <c r="Z10" s="303"/>
      <c r="AA10" s="296"/>
      <c r="AB10" s="247"/>
      <c r="AC10" s="247"/>
      <c r="AD10" s="247"/>
      <c r="AE10" s="190"/>
      <c r="AF10" s="190"/>
      <c r="AG10" s="198"/>
      <c r="AH10" s="198"/>
    </row>
    <row r="11" spans="2:34" s="197" customFormat="1" ht="27.75" customHeight="1" thickBot="1">
      <c r="B11" s="201" t="s">
        <v>11</v>
      </c>
      <c r="C11" s="101">
        <v>117</v>
      </c>
      <c r="D11" s="111">
        <v>75</v>
      </c>
      <c r="E11" s="103">
        <f t="shared" si="0"/>
        <v>64.102564102564102</v>
      </c>
      <c r="F11" s="111">
        <v>42</v>
      </c>
      <c r="G11" s="327">
        <f t="shared" si="1"/>
        <v>35.897435897435898</v>
      </c>
      <c r="H11" s="111">
        <v>0</v>
      </c>
      <c r="I11" s="328">
        <f t="shared" si="2"/>
        <v>0</v>
      </c>
      <c r="J11" s="193"/>
      <c r="K11" s="194">
        <f t="shared" si="3"/>
        <v>117</v>
      </c>
      <c r="L11" s="195">
        <f t="shared" si="3"/>
        <v>100</v>
      </c>
      <c r="M11" s="200"/>
      <c r="N11" s="202"/>
      <c r="O11" s="295" t="s">
        <v>26</v>
      </c>
      <c r="P11" s="323">
        <f>Q11+S11+U11</f>
        <v>410</v>
      </c>
      <c r="Q11" s="296">
        <v>262</v>
      </c>
      <c r="R11" s="303"/>
      <c r="S11" s="292">
        <v>128</v>
      </c>
      <c r="T11" s="292"/>
      <c r="U11" s="292">
        <v>20</v>
      </c>
      <c r="V11" s="292"/>
      <c r="W11" s="314"/>
      <c r="X11" s="292"/>
      <c r="Y11" s="314"/>
      <c r="Z11" s="303"/>
      <c r="AA11" s="296"/>
      <c r="AB11" s="247"/>
      <c r="AC11" s="249"/>
      <c r="AD11" s="248"/>
      <c r="AE11" s="203"/>
      <c r="AF11" s="204"/>
      <c r="AG11" s="205"/>
      <c r="AH11" s="206"/>
    </row>
    <row r="12" spans="2:34" s="197" customFormat="1" ht="27.75" customHeight="1" thickBot="1">
      <c r="B12" s="207" t="s">
        <v>12</v>
      </c>
      <c r="C12" s="101">
        <v>1</v>
      </c>
      <c r="D12" s="111">
        <v>0</v>
      </c>
      <c r="E12" s="103">
        <f t="shared" si="0"/>
        <v>0</v>
      </c>
      <c r="F12" s="111">
        <v>1</v>
      </c>
      <c r="G12" s="327">
        <f t="shared" si="1"/>
        <v>100</v>
      </c>
      <c r="H12" s="111">
        <v>0</v>
      </c>
      <c r="I12" s="328">
        <f t="shared" si="2"/>
        <v>0</v>
      </c>
      <c r="J12" s="193"/>
      <c r="K12" s="194">
        <f t="shared" si="3"/>
        <v>1</v>
      </c>
      <c r="L12" s="195">
        <f t="shared" si="3"/>
        <v>100</v>
      </c>
      <c r="M12" s="200"/>
      <c r="O12" s="295" t="s">
        <v>22</v>
      </c>
      <c r="P12" s="323">
        <f>Q12+S12+U12</f>
        <v>117</v>
      </c>
      <c r="Q12" s="296">
        <v>75</v>
      </c>
      <c r="R12" s="303"/>
      <c r="S12" s="292">
        <v>42</v>
      </c>
      <c r="T12" s="292"/>
      <c r="U12" s="291"/>
      <c r="V12" s="292"/>
      <c r="W12" s="314"/>
      <c r="X12" s="291"/>
      <c r="Y12" s="315"/>
      <c r="Z12" s="303"/>
      <c r="AA12" s="296"/>
      <c r="AB12" s="248"/>
      <c r="AC12" s="248"/>
      <c r="AD12" s="248"/>
      <c r="AE12" s="203"/>
      <c r="AF12" s="204"/>
      <c r="AG12" s="205"/>
      <c r="AH12" s="206"/>
    </row>
    <row r="13" spans="2:34" s="197" customFormat="1" ht="27.75" customHeight="1" thickBot="1">
      <c r="B13" s="208" t="s">
        <v>13</v>
      </c>
      <c r="C13" s="101">
        <v>0</v>
      </c>
      <c r="D13" s="111">
        <v>0</v>
      </c>
      <c r="E13" s="103">
        <v>0</v>
      </c>
      <c r="F13" s="111">
        <v>0</v>
      </c>
      <c r="G13" s="103">
        <v>0</v>
      </c>
      <c r="H13" s="111">
        <v>0</v>
      </c>
      <c r="I13" s="104">
        <v>0</v>
      </c>
      <c r="J13" s="193"/>
      <c r="K13" s="194">
        <f t="shared" si="3"/>
        <v>0</v>
      </c>
      <c r="L13" s="195">
        <f t="shared" si="3"/>
        <v>0</v>
      </c>
      <c r="M13" s="200"/>
      <c r="O13" s="295" t="s">
        <v>25</v>
      </c>
      <c r="P13" s="323">
        <f>Q13+S13+U13</f>
        <v>1</v>
      </c>
      <c r="Q13" s="317"/>
      <c r="R13" s="304"/>
      <c r="S13" s="292">
        <v>1</v>
      </c>
      <c r="T13" s="292"/>
      <c r="U13" s="291"/>
      <c r="V13" s="298"/>
      <c r="W13" s="316"/>
      <c r="X13" s="298"/>
      <c r="Y13" s="316"/>
      <c r="Z13" s="303"/>
      <c r="AA13" s="296"/>
      <c r="AB13" s="248"/>
      <c r="AC13" s="248"/>
      <c r="AD13" s="248"/>
      <c r="AE13" s="190"/>
      <c r="AF13" s="190"/>
      <c r="AG13" s="209"/>
      <c r="AH13" s="206"/>
    </row>
    <row r="14" spans="2:34" s="197" customFormat="1" ht="27.75" customHeight="1" thickBot="1">
      <c r="B14" s="210" t="s">
        <v>15</v>
      </c>
      <c r="C14" s="101">
        <v>123</v>
      </c>
      <c r="D14" s="111">
        <v>97</v>
      </c>
      <c r="E14" s="103">
        <f t="shared" si="0"/>
        <v>78.861788617886177</v>
      </c>
      <c r="F14" s="111">
        <v>24</v>
      </c>
      <c r="G14" s="103">
        <f t="shared" si="1"/>
        <v>19.512195121951219</v>
      </c>
      <c r="H14" s="111">
        <v>2</v>
      </c>
      <c r="I14" s="104">
        <f t="shared" si="2"/>
        <v>1.6260162601626018</v>
      </c>
      <c r="J14" s="193"/>
      <c r="K14" s="194">
        <f t="shared" si="3"/>
        <v>123</v>
      </c>
      <c r="L14" s="195">
        <f t="shared" si="3"/>
        <v>100</v>
      </c>
      <c r="O14" s="295"/>
      <c r="P14" s="323"/>
      <c r="Q14" s="317"/>
      <c r="R14" s="304"/>
      <c r="S14" s="292"/>
      <c r="T14" s="292"/>
      <c r="U14" s="291"/>
      <c r="V14" s="292"/>
      <c r="W14" s="314"/>
      <c r="X14" s="291"/>
      <c r="Y14" s="315"/>
      <c r="Z14" s="303"/>
      <c r="AA14" s="296"/>
      <c r="AB14" s="248"/>
      <c r="AC14" s="248"/>
      <c r="AD14" s="248"/>
      <c r="AE14" s="190"/>
      <c r="AF14" s="190"/>
      <c r="AG14" s="206"/>
      <c r="AH14" s="206"/>
    </row>
    <row r="15" spans="2:34" ht="27.75" customHeight="1" thickBot="1">
      <c r="B15" s="121" t="s">
        <v>16</v>
      </c>
      <c r="C15" s="122">
        <f>SUM(C9:C14)</f>
        <v>817</v>
      </c>
      <c r="D15" s="123">
        <f>SUM(D9:D14)</f>
        <v>520</v>
      </c>
      <c r="E15" s="124">
        <v>63.7</v>
      </c>
      <c r="F15" s="123">
        <f>SUM(F9:F14)</f>
        <v>269</v>
      </c>
      <c r="G15" s="124">
        <f>F15/C15*100</f>
        <v>32.925336597307222</v>
      </c>
      <c r="H15" s="122">
        <f>SUM(H9:H14)</f>
        <v>28</v>
      </c>
      <c r="I15" s="125">
        <f>H15/C15*100</f>
        <v>3.4271725826193387</v>
      </c>
      <c r="J15" s="105"/>
      <c r="K15" s="106">
        <f>D14+F14+H14</f>
        <v>123</v>
      </c>
      <c r="L15" s="107">
        <f t="shared" si="3"/>
        <v>100.05250917992656</v>
      </c>
      <c r="O15" s="295" t="s">
        <v>205</v>
      </c>
      <c r="P15" s="323">
        <f t="shared" ref="P15:P21" si="4">Q15+S15+U15</f>
        <v>8</v>
      </c>
      <c r="Q15" s="296">
        <v>5</v>
      </c>
      <c r="R15" s="303"/>
      <c r="S15" s="292">
        <v>2</v>
      </c>
      <c r="T15" s="292"/>
      <c r="U15" s="292">
        <v>1</v>
      </c>
      <c r="V15" s="292"/>
      <c r="W15" s="314"/>
      <c r="X15" s="291"/>
      <c r="Y15" s="315"/>
      <c r="Z15" s="304"/>
      <c r="AA15" s="296"/>
      <c r="AB15" s="247"/>
      <c r="AC15" s="247"/>
      <c r="AD15" s="247"/>
      <c r="AE15" s="190"/>
      <c r="AF15" s="190"/>
      <c r="AG15" s="206"/>
      <c r="AH15" s="206"/>
    </row>
    <row r="16" spans="2:34" ht="27.75" customHeight="1" thickTop="1" thickBot="1">
      <c r="B16" s="373"/>
      <c r="C16" s="373"/>
      <c r="D16" s="373"/>
      <c r="E16" s="373"/>
      <c r="F16" s="373"/>
      <c r="G16" s="373"/>
      <c r="H16" s="373"/>
      <c r="I16" s="373"/>
      <c r="J16" s="105"/>
      <c r="K16" s="106">
        <f>D15+F15+H15</f>
        <v>817</v>
      </c>
      <c r="O16" s="295" t="s">
        <v>209</v>
      </c>
      <c r="P16" s="323">
        <f t="shared" si="4"/>
        <v>1</v>
      </c>
      <c r="Q16" s="317"/>
      <c r="R16" s="304"/>
      <c r="S16" s="291"/>
      <c r="T16" s="291"/>
      <c r="U16" s="292">
        <v>1</v>
      </c>
      <c r="V16" s="292"/>
      <c r="W16" s="314"/>
      <c r="X16" s="291"/>
      <c r="Y16" s="315"/>
      <c r="Z16" s="304"/>
      <c r="AA16" s="296"/>
      <c r="AB16" s="247"/>
      <c r="AC16" s="247"/>
      <c r="AD16" s="247"/>
      <c r="AE16" s="203"/>
      <c r="AF16" s="204"/>
      <c r="AG16" s="206"/>
      <c r="AH16" s="211"/>
    </row>
    <row r="17" spans="1:34" ht="25.5" customHeight="1" thickBot="1">
      <c r="A17" s="131"/>
      <c r="B17" s="269" t="s">
        <v>174</v>
      </c>
      <c r="C17" s="245"/>
      <c r="D17" s="245"/>
      <c r="E17" s="245"/>
      <c r="F17" s="245"/>
      <c r="G17" s="245"/>
      <c r="H17" s="245"/>
      <c r="I17" s="245"/>
      <c r="J17" s="131"/>
      <c r="O17" s="295" t="s">
        <v>211</v>
      </c>
      <c r="P17" s="323">
        <f t="shared" si="4"/>
        <v>5</v>
      </c>
      <c r="Q17" s="296">
        <v>5</v>
      </c>
      <c r="R17" s="303"/>
      <c r="S17" s="291"/>
      <c r="T17" s="291"/>
      <c r="U17" s="291"/>
      <c r="V17" s="292"/>
      <c r="W17" s="314"/>
      <c r="X17" s="291"/>
      <c r="Y17" s="315"/>
      <c r="Z17" s="303"/>
      <c r="AA17" s="296"/>
      <c r="AB17" s="248"/>
      <c r="AC17" s="248"/>
      <c r="AD17" s="248"/>
      <c r="AE17" s="190"/>
      <c r="AF17" s="190"/>
      <c r="AG17" s="205"/>
      <c r="AH17" s="211"/>
    </row>
    <row r="18" spans="1:34" ht="30.75" customHeight="1" thickBot="1">
      <c r="B18" s="374" t="s">
        <v>282</v>
      </c>
      <c r="C18" s="374"/>
      <c r="D18" s="374"/>
      <c r="E18" s="374"/>
      <c r="F18" s="374"/>
      <c r="G18" s="374"/>
      <c r="H18" s="374"/>
      <c r="I18" s="374"/>
      <c r="O18" s="295" t="s">
        <v>27</v>
      </c>
      <c r="P18" s="323">
        <f t="shared" si="4"/>
        <v>4</v>
      </c>
      <c r="Q18" s="296">
        <v>4</v>
      </c>
      <c r="R18" s="303"/>
      <c r="S18" s="291"/>
      <c r="T18" s="291"/>
      <c r="U18" s="291"/>
      <c r="V18" s="292"/>
      <c r="W18" s="314"/>
      <c r="X18" s="291"/>
      <c r="Y18" s="315"/>
      <c r="Z18" s="303"/>
      <c r="AA18" s="296"/>
      <c r="AB18" s="248"/>
      <c r="AC18" s="248"/>
      <c r="AD18" s="248"/>
      <c r="AE18" s="204"/>
      <c r="AF18" s="204"/>
      <c r="AG18" s="191"/>
      <c r="AH18" s="191"/>
    </row>
    <row r="19" spans="1:34" ht="30.75" thickBot="1">
      <c r="B19" s="269" t="s">
        <v>178</v>
      </c>
      <c r="C19" s="180"/>
      <c r="D19" s="180"/>
      <c r="E19" s="180"/>
      <c r="F19" s="180"/>
      <c r="G19" s="180"/>
      <c r="H19" s="180"/>
      <c r="I19" s="180"/>
      <c r="O19" s="295" t="s">
        <v>28</v>
      </c>
      <c r="P19" s="323">
        <f t="shared" si="4"/>
        <v>12</v>
      </c>
      <c r="Q19" s="296">
        <v>11</v>
      </c>
      <c r="R19" s="303"/>
      <c r="S19" s="292">
        <v>1</v>
      </c>
      <c r="T19" s="292"/>
      <c r="U19" s="291"/>
      <c r="V19" s="292"/>
      <c r="W19" s="314"/>
      <c r="X19" s="292"/>
      <c r="Y19" s="314"/>
      <c r="Z19" s="303"/>
      <c r="AA19" s="296"/>
      <c r="AB19" s="247"/>
      <c r="AC19" s="247"/>
      <c r="AD19" s="247"/>
      <c r="AE19" s="203"/>
      <c r="AF19" s="204"/>
      <c r="AG19" s="211"/>
      <c r="AH19" s="211"/>
    </row>
    <row r="20" spans="1:34" ht="24" thickBot="1">
      <c r="C20" s="25"/>
      <c r="D20" s="25"/>
      <c r="E20" s="25"/>
      <c r="F20" s="25"/>
      <c r="G20" s="25"/>
      <c r="H20" s="25"/>
      <c r="I20" s="25"/>
      <c r="O20" s="295" t="s">
        <v>29</v>
      </c>
      <c r="P20" s="323">
        <f t="shared" si="4"/>
        <v>8</v>
      </c>
      <c r="Q20" s="296">
        <v>6</v>
      </c>
      <c r="R20" s="303"/>
      <c r="S20" s="292">
        <v>2</v>
      </c>
      <c r="T20" s="292"/>
      <c r="U20" s="291"/>
      <c r="V20" s="291"/>
      <c r="W20" s="315"/>
      <c r="X20" s="291"/>
      <c r="Y20" s="315"/>
      <c r="Z20" s="303"/>
      <c r="AA20" s="296"/>
      <c r="AB20" s="248"/>
      <c r="AC20" s="248"/>
      <c r="AD20" s="248"/>
      <c r="AE20" s="203"/>
      <c r="AF20" s="204"/>
      <c r="AG20" s="205"/>
      <c r="AH20" s="211"/>
    </row>
    <row r="21" spans="1:34" ht="45.75" thickBot="1">
      <c r="C21" s="25"/>
      <c r="D21" s="25"/>
      <c r="E21" s="25"/>
      <c r="F21" s="25"/>
      <c r="G21" s="25"/>
      <c r="H21" s="25"/>
      <c r="I21" s="25"/>
      <c r="O21" s="297" t="s">
        <v>212</v>
      </c>
      <c r="P21" s="325">
        <f t="shared" si="4"/>
        <v>85</v>
      </c>
      <c r="Q21" s="299">
        <v>66</v>
      </c>
      <c r="R21" s="305"/>
      <c r="S21" s="298">
        <v>19</v>
      </c>
      <c r="T21" s="298"/>
      <c r="U21" s="318"/>
      <c r="V21" s="292"/>
      <c r="W21" s="314"/>
      <c r="X21" s="291"/>
      <c r="Y21" s="315"/>
      <c r="Z21" s="304"/>
      <c r="AA21" s="296"/>
      <c r="AB21" s="248"/>
      <c r="AC21" s="248"/>
      <c r="AD21" s="248"/>
      <c r="AE21" s="190"/>
      <c r="AF21" s="190"/>
      <c r="AG21" s="205"/>
      <c r="AH21" s="211"/>
    </row>
    <row r="22" spans="1:34" ht="24" thickBot="1">
      <c r="C22" s="25"/>
      <c r="D22" s="25"/>
      <c r="E22" s="25"/>
      <c r="F22" s="25"/>
      <c r="G22" s="25"/>
      <c r="H22" s="25"/>
      <c r="I22" s="25"/>
      <c r="O22" s="295"/>
      <c r="P22" s="323">
        <f>SUM(P15:P21)</f>
        <v>123</v>
      </c>
      <c r="Q22" s="323">
        <f>SUM(Q15:Q21)</f>
        <v>97</v>
      </c>
      <c r="R22" s="311"/>
      <c r="S22" s="296">
        <f>SUM(S15:S21)</f>
        <v>24</v>
      </c>
      <c r="T22" s="326"/>
      <c r="U22" s="301">
        <f>SUM(U15:U21)</f>
        <v>2</v>
      </c>
      <c r="V22" s="292"/>
      <c r="W22" s="314"/>
      <c r="X22" s="291"/>
      <c r="Y22" s="315"/>
      <c r="Z22" s="303"/>
      <c r="AA22" s="296"/>
      <c r="AB22" s="248"/>
      <c r="AC22" s="248"/>
      <c r="AD22" s="248"/>
      <c r="AE22" s="190"/>
      <c r="AF22" s="190"/>
      <c r="AG22" s="191"/>
      <c r="AH22" s="191"/>
    </row>
    <row r="23" spans="1:34" ht="24" thickBot="1">
      <c r="C23" s="25"/>
      <c r="D23" s="25"/>
      <c r="E23" s="25"/>
      <c r="F23" s="25"/>
      <c r="G23" s="25"/>
      <c r="H23" s="25"/>
      <c r="I23" s="25"/>
      <c r="O23" s="295"/>
      <c r="P23" s="323"/>
      <c r="Q23" s="311"/>
      <c r="R23" s="311"/>
      <c r="S23" s="296"/>
      <c r="T23" s="326"/>
      <c r="U23" s="301"/>
      <c r="V23" s="291"/>
      <c r="W23" s="315"/>
      <c r="X23" s="291"/>
      <c r="Y23" s="315"/>
      <c r="Z23" s="304"/>
      <c r="AA23" s="296"/>
      <c r="AB23" s="247"/>
      <c r="AC23" s="249"/>
      <c r="AD23" s="248"/>
      <c r="AE23" s="204"/>
      <c r="AF23" s="204"/>
      <c r="AG23" s="191"/>
      <c r="AH23" s="191"/>
    </row>
    <row r="24" spans="1:34" ht="24" thickBot="1">
      <c r="C24" s="25"/>
      <c r="D24" s="25"/>
      <c r="E24" s="25"/>
      <c r="F24" s="25"/>
      <c r="G24" s="25"/>
      <c r="H24" s="25"/>
      <c r="I24" s="25"/>
      <c r="O24" s="295"/>
      <c r="P24" s="323"/>
      <c r="Q24" s="311"/>
      <c r="R24" s="311"/>
      <c r="S24" s="296"/>
      <c r="T24" s="326"/>
      <c r="U24" s="301"/>
      <c r="V24" s="292"/>
      <c r="W24" s="314"/>
      <c r="X24" s="292"/>
      <c r="Y24" s="314"/>
      <c r="Z24" s="303"/>
      <c r="AA24" s="296"/>
      <c r="AB24" s="248"/>
      <c r="AC24" s="248"/>
      <c r="AD24" s="248"/>
      <c r="AE24" s="191"/>
      <c r="AF24" s="191"/>
      <c r="AG24" s="205"/>
      <c r="AH24" s="211"/>
    </row>
    <row r="25" spans="1:34" ht="24" thickBot="1">
      <c r="C25" s="25"/>
      <c r="D25" s="25"/>
      <c r="E25" s="25"/>
      <c r="F25" s="25"/>
      <c r="G25" s="25"/>
      <c r="H25" s="25"/>
      <c r="I25" s="25"/>
      <c r="O25" s="295"/>
      <c r="P25" s="323"/>
      <c r="Q25" s="311"/>
      <c r="R25" s="311"/>
      <c r="S25" s="296"/>
      <c r="T25" s="326"/>
      <c r="U25" s="301"/>
      <c r="V25" s="291"/>
      <c r="W25" s="315"/>
      <c r="X25" s="291"/>
      <c r="Y25" s="315"/>
      <c r="Z25" s="303"/>
      <c r="AA25" s="296"/>
      <c r="AB25" s="247"/>
      <c r="AC25" s="247"/>
      <c r="AD25" s="247"/>
      <c r="AE25" s="191"/>
      <c r="AF25" s="191"/>
      <c r="AG25" s="191"/>
      <c r="AH25" s="191"/>
    </row>
    <row r="26" spans="1:34" ht="24" thickBot="1">
      <c r="C26" s="25"/>
      <c r="D26" s="25"/>
      <c r="E26" s="25"/>
      <c r="F26" s="25"/>
      <c r="G26" s="25"/>
      <c r="H26" s="25"/>
      <c r="I26" s="25"/>
      <c r="O26" s="295"/>
      <c r="P26" s="323"/>
      <c r="Q26" s="311"/>
      <c r="R26" s="311"/>
      <c r="S26" s="296"/>
      <c r="T26" s="326"/>
      <c r="U26" s="301"/>
      <c r="V26" s="292"/>
      <c r="W26" s="314"/>
      <c r="X26" s="291"/>
      <c r="Y26" s="315"/>
      <c r="Z26" s="303"/>
      <c r="AA26" s="296"/>
      <c r="AB26" s="247"/>
      <c r="AC26" s="247"/>
      <c r="AD26" s="247"/>
      <c r="AE26" s="205"/>
      <c r="AF26" s="211"/>
      <c r="AG26" s="211"/>
      <c r="AH26" s="211"/>
    </row>
    <row r="27" spans="1:34" ht="24" thickBot="1">
      <c r="C27" s="25"/>
      <c r="D27" s="25"/>
      <c r="E27" s="25"/>
      <c r="F27" s="25"/>
      <c r="G27" s="25"/>
      <c r="H27" s="25"/>
      <c r="I27" s="25"/>
      <c r="O27" s="295"/>
      <c r="P27" s="323"/>
      <c r="Q27" s="311"/>
      <c r="R27" s="311"/>
      <c r="S27" s="296"/>
      <c r="T27" s="326"/>
      <c r="U27" s="301"/>
      <c r="V27" s="292"/>
      <c r="W27" s="314"/>
      <c r="X27" s="291"/>
      <c r="Y27" s="315"/>
      <c r="Z27" s="303"/>
      <c r="AA27" s="296"/>
      <c r="AB27" s="247"/>
      <c r="AC27" s="249"/>
      <c r="AD27" s="248"/>
    </row>
    <row r="28" spans="1:34" ht="16.5" thickBot="1">
      <c r="B28" s="376"/>
      <c r="C28" s="376"/>
      <c r="D28" s="376"/>
      <c r="E28" s="376"/>
      <c r="F28" s="376"/>
      <c r="G28" s="376"/>
      <c r="H28" s="376"/>
      <c r="I28" s="376"/>
      <c r="O28" s="295"/>
      <c r="P28" s="323"/>
      <c r="Q28" s="311"/>
      <c r="R28" s="311"/>
      <c r="S28" s="296"/>
      <c r="T28" s="326"/>
      <c r="U28" s="301"/>
      <c r="V28" s="292"/>
      <c r="W28" s="314"/>
      <c r="X28" s="292"/>
      <c r="Y28" s="314"/>
      <c r="Z28" s="303"/>
      <c r="AA28" s="296"/>
    </row>
    <row r="29" spans="1:34" ht="24" thickBot="1">
      <c r="B29" s="212"/>
      <c r="C29" s="126"/>
      <c r="D29" s="126"/>
      <c r="E29" s="126"/>
      <c r="F29" s="126"/>
      <c r="G29" s="126"/>
      <c r="H29" s="126"/>
      <c r="I29" s="126"/>
      <c r="O29" s="295"/>
      <c r="P29" s="323"/>
      <c r="Q29" s="311"/>
      <c r="R29" s="311"/>
      <c r="S29" s="296"/>
      <c r="T29" s="326"/>
      <c r="U29" s="301"/>
      <c r="V29" s="292"/>
      <c r="W29" s="314"/>
      <c r="X29" s="291"/>
      <c r="Y29" s="315"/>
      <c r="Z29" s="303"/>
      <c r="AA29" s="296"/>
    </row>
    <row r="30" spans="1:34" ht="24" thickBot="1">
      <c r="B30" s="212"/>
      <c r="C30" s="126"/>
      <c r="D30" s="126"/>
      <c r="E30" s="126"/>
      <c r="F30" s="126"/>
      <c r="G30" s="126"/>
      <c r="H30" s="126"/>
      <c r="I30" s="126"/>
      <c r="O30" s="295"/>
      <c r="P30" s="323"/>
      <c r="Q30" s="311"/>
      <c r="R30" s="311"/>
      <c r="S30" s="296"/>
      <c r="T30" s="326"/>
      <c r="U30" s="301"/>
      <c r="V30" s="292"/>
      <c r="W30" s="314"/>
      <c r="X30" s="292"/>
      <c r="Y30" s="314"/>
      <c r="Z30" s="305"/>
      <c r="AA30" s="299"/>
    </row>
    <row r="31" spans="1:34" ht="24" thickBot="1">
      <c r="B31" s="212"/>
      <c r="C31" s="126"/>
      <c r="D31" s="126"/>
      <c r="E31" s="126"/>
      <c r="F31" s="126"/>
      <c r="G31" s="126"/>
      <c r="H31" s="126"/>
      <c r="I31" s="126"/>
      <c r="O31" s="295"/>
      <c r="P31" s="323"/>
      <c r="Q31" s="311"/>
      <c r="R31" s="311"/>
      <c r="S31" s="296"/>
      <c r="T31" s="326"/>
      <c r="U31" s="301"/>
      <c r="V31" s="292"/>
      <c r="W31" s="314"/>
      <c r="X31" s="291"/>
      <c r="Y31" s="315"/>
    </row>
    <row r="32" spans="1:34" ht="24" thickBot="1">
      <c r="B32" s="212"/>
      <c r="C32" s="126"/>
      <c r="D32" s="126"/>
      <c r="E32" s="126"/>
      <c r="F32" s="126"/>
      <c r="G32" s="126"/>
      <c r="H32" s="126"/>
      <c r="I32" s="126"/>
      <c r="O32" s="295"/>
      <c r="P32" s="323"/>
      <c r="Q32" s="311"/>
      <c r="R32" s="311"/>
      <c r="S32" s="296"/>
      <c r="T32" s="326"/>
      <c r="U32" s="301"/>
    </row>
    <row r="33" spans="2:10">
      <c r="B33" s="212"/>
      <c r="C33" s="126"/>
      <c r="D33" s="126"/>
      <c r="E33" s="126"/>
      <c r="F33" s="126"/>
      <c r="G33" s="126"/>
      <c r="H33" s="126"/>
      <c r="I33" s="126"/>
    </row>
    <row r="34" spans="2:10">
      <c r="B34" s="212"/>
      <c r="C34" s="126"/>
      <c r="D34" s="126"/>
      <c r="E34" s="126"/>
      <c r="F34" s="126"/>
      <c r="G34" s="126"/>
      <c r="H34" s="126"/>
      <c r="I34" s="126"/>
    </row>
    <row r="35" spans="2:10">
      <c r="C35" s="25"/>
      <c r="D35" s="25"/>
      <c r="G35" s="25"/>
      <c r="H35" s="25"/>
      <c r="I35" s="25"/>
    </row>
    <row r="36" spans="2:10" ht="15" customHeight="1">
      <c r="B36" s="365"/>
      <c r="C36" s="365"/>
      <c r="D36" s="365"/>
      <c r="E36" s="365"/>
      <c r="F36" s="365"/>
      <c r="G36" s="365"/>
      <c r="H36" s="365"/>
      <c r="I36" s="365"/>
    </row>
    <row r="38" spans="2:10" ht="21" customHeight="1">
      <c r="B38" s="365"/>
      <c r="C38" s="365"/>
      <c r="D38" s="365"/>
      <c r="E38" s="365"/>
      <c r="F38" s="365"/>
      <c r="G38" s="365"/>
      <c r="H38" s="365"/>
      <c r="I38" s="365"/>
    </row>
    <row r="39" spans="2:10" ht="54.75" customHeight="1">
      <c r="J39" s="98"/>
    </row>
    <row r="40" spans="2:10" ht="27.75" customHeight="1">
      <c r="B40" s="213"/>
      <c r="C40" s="214"/>
      <c r="D40" s="214"/>
      <c r="E40" s="214"/>
      <c r="F40" s="214"/>
      <c r="G40" s="214"/>
      <c r="H40" s="214"/>
      <c r="I40" s="214"/>
    </row>
    <row r="41" spans="2:10" ht="27.75" customHeight="1"/>
    <row r="42" spans="2:10" ht="27.75" customHeight="1"/>
    <row r="43" spans="2:10" ht="27.75" customHeight="1"/>
    <row r="44" spans="2:10" ht="27.75" customHeight="1"/>
    <row r="45" spans="2:10" ht="27.75" customHeight="1"/>
    <row r="46" spans="2:10" ht="27.75" customHeight="1"/>
    <row r="47" spans="2:10" ht="27.75" customHeight="1"/>
    <row r="48" spans="2:10" ht="27.75" customHeight="1"/>
    <row r="52" spans="2:9" ht="12.75">
      <c r="B52" s="377"/>
      <c r="C52" s="377"/>
      <c r="D52" s="377"/>
      <c r="E52" s="377"/>
      <c r="F52" s="377"/>
      <c r="G52" s="377"/>
      <c r="H52" s="377"/>
      <c r="I52" s="377"/>
    </row>
    <row r="53" spans="2:9">
      <c r="B53" s="212"/>
      <c r="C53" s="132"/>
      <c r="D53" s="132"/>
      <c r="E53" s="132"/>
      <c r="F53" s="132"/>
      <c r="G53" s="132"/>
      <c r="H53" s="132"/>
      <c r="I53" s="132"/>
    </row>
    <row r="54" spans="2:9">
      <c r="B54" s="212"/>
      <c r="C54" s="132"/>
      <c r="D54" s="132"/>
      <c r="E54" s="132"/>
      <c r="F54" s="132"/>
      <c r="G54" s="132"/>
      <c r="H54" s="132"/>
      <c r="I54" s="132"/>
    </row>
    <row r="55" spans="2:9">
      <c r="B55" s="212"/>
      <c r="C55" s="132"/>
      <c r="D55" s="132"/>
      <c r="E55" s="132"/>
      <c r="F55" s="132"/>
      <c r="G55" s="132"/>
      <c r="H55" s="132"/>
      <c r="I55" s="132"/>
    </row>
    <row r="56" spans="2:9">
      <c r="B56" s="212"/>
      <c r="C56" s="132"/>
      <c r="D56" s="132"/>
      <c r="E56" s="132"/>
      <c r="F56" s="132"/>
      <c r="G56" s="132"/>
      <c r="H56" s="132"/>
      <c r="I56" s="132"/>
    </row>
    <row r="57" spans="2:9">
      <c r="B57" s="212"/>
      <c r="C57" s="132"/>
      <c r="D57" s="132"/>
      <c r="E57" s="132"/>
      <c r="F57" s="132"/>
      <c r="G57" s="132"/>
      <c r="H57" s="132"/>
      <c r="I57" s="132"/>
    </row>
    <row r="58" spans="2:9">
      <c r="B58" s="212"/>
      <c r="C58" s="132"/>
      <c r="D58" s="132"/>
      <c r="E58" s="132"/>
      <c r="F58" s="132"/>
      <c r="G58" s="132"/>
      <c r="H58" s="132"/>
      <c r="I58" s="132"/>
    </row>
    <row r="60" spans="2:9" ht="15">
      <c r="B60" s="365"/>
      <c r="C60" s="365"/>
      <c r="D60" s="365"/>
      <c r="E60" s="365"/>
      <c r="F60" s="365"/>
      <c r="G60" s="365"/>
      <c r="H60" s="365"/>
      <c r="I60" s="365"/>
    </row>
    <row r="61" spans="2:9" ht="15">
      <c r="B61" s="365"/>
      <c r="C61" s="365"/>
      <c r="D61" s="365"/>
      <c r="E61" s="365"/>
      <c r="F61" s="365"/>
      <c r="G61" s="365"/>
      <c r="H61" s="365"/>
      <c r="I61" s="365"/>
    </row>
    <row r="63" spans="2:9" ht="21" customHeight="1"/>
    <row r="64" spans="2:9" ht="21" customHeight="1"/>
    <row r="65" spans="2:10" ht="54.75" customHeight="1">
      <c r="J65" s="98"/>
    </row>
    <row r="66" spans="2:10" ht="27.75" customHeight="1"/>
    <row r="67" spans="2:10" ht="27.75" customHeight="1"/>
    <row r="68" spans="2:10" ht="27.75" customHeight="1"/>
    <row r="70" spans="2:10" ht="27.75" customHeight="1"/>
    <row r="71" spans="2:10" ht="27.75" customHeight="1"/>
    <row r="75" spans="2:10" ht="12.75">
      <c r="B75" s="377"/>
      <c r="C75" s="377"/>
      <c r="D75" s="377"/>
      <c r="E75" s="377"/>
      <c r="F75" s="377"/>
      <c r="G75" s="377"/>
      <c r="H75" s="377"/>
      <c r="I75" s="377"/>
    </row>
    <row r="76" spans="2:10">
      <c r="B76" s="212"/>
      <c r="C76" s="132"/>
      <c r="D76" s="132"/>
      <c r="E76" s="132"/>
      <c r="F76" s="132"/>
      <c r="G76" s="132"/>
      <c r="H76" s="132"/>
      <c r="I76" s="132"/>
    </row>
    <row r="77" spans="2:10">
      <c r="B77" s="212"/>
      <c r="C77" s="132"/>
      <c r="D77" s="132"/>
      <c r="E77" s="132"/>
      <c r="F77" s="132"/>
      <c r="G77" s="132"/>
      <c r="H77" s="132"/>
      <c r="I77" s="132"/>
    </row>
    <row r="78" spans="2:10">
      <c r="B78" s="212"/>
      <c r="C78" s="132"/>
      <c r="D78" s="132"/>
      <c r="E78" s="132"/>
      <c r="F78" s="132"/>
      <c r="G78" s="132"/>
      <c r="H78" s="132"/>
      <c r="I78" s="132"/>
    </row>
    <row r="79" spans="2:10">
      <c r="B79" s="212"/>
      <c r="C79" s="132"/>
      <c r="D79" s="132"/>
      <c r="E79" s="132"/>
      <c r="F79" s="132"/>
      <c r="G79" s="132"/>
      <c r="H79" s="132"/>
      <c r="I79" s="132"/>
    </row>
    <row r="80" spans="2:10">
      <c r="B80" s="212"/>
      <c r="C80" s="132"/>
      <c r="D80" s="132"/>
      <c r="E80" s="132"/>
      <c r="F80" s="132"/>
      <c r="G80" s="132"/>
      <c r="H80" s="132"/>
      <c r="I80" s="132"/>
    </row>
    <row r="81" spans="2:9">
      <c r="B81" s="212"/>
      <c r="C81" s="132"/>
      <c r="D81" s="132"/>
      <c r="E81" s="132"/>
      <c r="F81" s="132"/>
      <c r="G81" s="132"/>
      <c r="H81" s="132"/>
      <c r="I81" s="132"/>
    </row>
    <row r="83" spans="2:9" ht="15">
      <c r="B83" s="365"/>
      <c r="C83" s="365"/>
      <c r="D83" s="365"/>
      <c r="E83" s="365"/>
      <c r="F83" s="365"/>
      <c r="G83" s="365"/>
      <c r="H83" s="365"/>
      <c r="I83" s="365"/>
    </row>
  </sheetData>
  <sheetProtection selectLockedCells="1" selectUnlockedCells="1"/>
  <mergeCells count="19">
    <mergeCell ref="B60:I60"/>
    <mergeCell ref="B61:I61"/>
    <mergeCell ref="B75:I75"/>
    <mergeCell ref="B83:I83"/>
    <mergeCell ref="B16:I16"/>
    <mergeCell ref="B28:I28"/>
    <mergeCell ref="B36:I36"/>
    <mergeCell ref="B38:I38"/>
    <mergeCell ref="B52:I52"/>
    <mergeCell ref="B18:I18"/>
    <mergeCell ref="B1:I1"/>
    <mergeCell ref="B2:I2"/>
    <mergeCell ref="B3:I3"/>
    <mergeCell ref="B5:I5"/>
    <mergeCell ref="B7:B8"/>
    <mergeCell ref="C7:C8"/>
    <mergeCell ref="D7:G7"/>
    <mergeCell ref="H7:H8"/>
    <mergeCell ref="I7:I8"/>
  </mergeCells>
  <printOptions horizontalCentered="1" verticalCentered="1"/>
  <pageMargins left="0.23622047244094491" right="0.23622047244094491" top="0.82677165354330717" bottom="0.78740157480314965" header="0.51181102362204722" footer="0.15748031496062992"/>
  <pageSetup paperSize="9" scale="50" firstPageNumber="0" orientation="landscape" verticalDpi="300" r:id="rId1"/>
  <headerFooter scaleWithDoc="0" alignWithMargins="0">
    <oddFooter xml:space="preserve">&amp;R&amp;"Verdana,Normale"&amp;8MINISTERO DELLA SALUTE  Direzione Generale per l'Igiene e la Sicurezza degli Alimenti e la NutrizionePagina 134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E9" sqref="E9"/>
    </sheetView>
  </sheetViews>
  <sheetFormatPr defaultColWidth="9.140625" defaultRowHeight="12.75"/>
  <cols>
    <col min="1" max="2" width="15.85546875" style="32" customWidth="1"/>
    <col min="3" max="3" width="15.7109375" style="32" customWidth="1"/>
    <col min="4" max="5" width="21.7109375" style="32" customWidth="1"/>
    <col min="6" max="6" width="15.7109375" style="32" customWidth="1"/>
    <col min="7" max="8" width="21.7109375" style="32" customWidth="1"/>
    <col min="9" max="9" width="12.7109375" style="32" customWidth="1"/>
    <col min="10" max="11" width="15.7109375" style="32" customWidth="1"/>
    <col min="12" max="16384" width="9.140625" style="32"/>
  </cols>
  <sheetData>
    <row r="1" spans="1:17" ht="38.25" customHeight="1">
      <c r="A1" s="405" t="s">
        <v>185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7" ht="26.25">
      <c r="A2" s="411" t="s">
        <v>132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7" ht="36" customHeight="1">
      <c r="A3" s="412" t="s">
        <v>222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5" spans="1:17" ht="24.75">
      <c r="A5" s="406" t="s">
        <v>138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</row>
    <row r="6" spans="1:17" ht="13.5" thickBot="1"/>
    <row r="7" spans="1:17" ht="28.5" customHeight="1" thickTop="1" thickBot="1">
      <c r="E7" s="407" t="s">
        <v>140</v>
      </c>
      <c r="F7" s="408"/>
      <c r="G7" s="409" t="s">
        <v>141</v>
      </c>
      <c r="H7" s="410"/>
      <c r="I7" s="215"/>
      <c r="J7" s="215"/>
    </row>
    <row r="8" spans="1:17" ht="27" customHeight="1" thickTop="1">
      <c r="D8" s="216" t="s">
        <v>142</v>
      </c>
      <c r="E8" s="217">
        <v>2018</v>
      </c>
      <c r="F8" s="218">
        <v>2019</v>
      </c>
      <c r="G8" s="217">
        <v>2018</v>
      </c>
      <c r="H8" s="218">
        <v>2019</v>
      </c>
      <c r="I8" s="215"/>
      <c r="N8" s="219"/>
      <c r="O8" s="219">
        <v>2018</v>
      </c>
      <c r="P8" s="219">
        <v>2019</v>
      </c>
    </row>
    <row r="9" spans="1:17" ht="27.75" customHeight="1">
      <c r="D9" s="220" t="s">
        <v>9</v>
      </c>
      <c r="E9" s="221">
        <v>3833</v>
      </c>
      <c r="F9" s="222">
        <v>3337</v>
      </c>
      <c r="G9" s="223" t="s">
        <v>148</v>
      </c>
      <c r="H9" s="222" t="s">
        <v>215</v>
      </c>
      <c r="I9" s="215"/>
      <c r="N9" s="224"/>
      <c r="O9" s="224">
        <v>0.91312288025045663</v>
      </c>
      <c r="P9" s="104">
        <v>1.8879232843871743</v>
      </c>
      <c r="Q9" s="104"/>
    </row>
    <row r="10" spans="1:17" ht="27.75" customHeight="1" thickBot="1">
      <c r="D10" s="225" t="s">
        <v>10</v>
      </c>
      <c r="E10" s="221">
        <v>3405</v>
      </c>
      <c r="F10" s="222">
        <v>3195</v>
      </c>
      <c r="G10" s="223" t="s">
        <v>149</v>
      </c>
      <c r="H10" s="222" t="s">
        <v>216</v>
      </c>
      <c r="I10" s="215"/>
      <c r="N10" s="226"/>
      <c r="O10" s="226">
        <v>1.6152716593245229</v>
      </c>
      <c r="P10" s="104">
        <v>1.7527386541471048</v>
      </c>
      <c r="Q10" s="104"/>
    </row>
    <row r="11" spans="1:17" ht="27.75" customHeight="1" thickTop="1" thickBot="1">
      <c r="D11" s="227" t="s">
        <v>34</v>
      </c>
      <c r="E11" s="221">
        <v>1541</v>
      </c>
      <c r="F11" s="222">
        <v>1839</v>
      </c>
      <c r="G11" s="223" t="s">
        <v>150</v>
      </c>
      <c r="H11" s="222" t="s">
        <v>217</v>
      </c>
      <c r="I11" s="215"/>
      <c r="N11" s="228"/>
      <c r="O11" s="228">
        <v>0.5191434133679429</v>
      </c>
      <c r="P11" s="104">
        <v>0.38064165307232195</v>
      </c>
      <c r="Q11" s="104"/>
    </row>
    <row r="12" spans="1:17" ht="21" thickBot="1">
      <c r="D12" s="229" t="s">
        <v>12</v>
      </c>
      <c r="E12" s="221">
        <v>480</v>
      </c>
      <c r="F12" s="222">
        <v>414</v>
      </c>
      <c r="G12" s="223" t="s">
        <v>143</v>
      </c>
      <c r="H12" s="222" t="s">
        <v>218</v>
      </c>
      <c r="I12" s="215"/>
      <c r="O12" s="230">
        <v>0</v>
      </c>
      <c r="P12" s="104">
        <v>0</v>
      </c>
      <c r="Q12" s="104"/>
    </row>
    <row r="13" spans="1:17" ht="27.75" customHeight="1" thickBot="1">
      <c r="D13" s="231" t="s">
        <v>13</v>
      </c>
      <c r="E13" s="223">
        <v>872</v>
      </c>
      <c r="F13" s="222">
        <v>887</v>
      </c>
      <c r="G13" s="223" t="s">
        <v>143</v>
      </c>
      <c r="H13" s="222" t="s">
        <v>219</v>
      </c>
      <c r="I13" s="215"/>
      <c r="O13" s="230">
        <v>0</v>
      </c>
      <c r="P13" s="104">
        <v>0.11273957158962795</v>
      </c>
      <c r="Q13" s="104"/>
    </row>
    <row r="14" spans="1:17" ht="29.25" customHeight="1" thickTop="1" thickBot="1">
      <c r="D14" s="232" t="s">
        <v>144</v>
      </c>
      <c r="E14" s="233">
        <v>56</v>
      </c>
      <c r="F14" s="234">
        <v>99</v>
      </c>
      <c r="G14" s="223" t="s">
        <v>143</v>
      </c>
      <c r="H14" s="222" t="s">
        <v>218</v>
      </c>
      <c r="I14" s="215"/>
      <c r="O14" s="230">
        <v>0</v>
      </c>
      <c r="P14" s="104">
        <v>0</v>
      </c>
      <c r="Q14" s="104"/>
    </row>
    <row r="15" spans="1:17" ht="39" customHeight="1" thickTop="1" thickBot="1">
      <c r="D15" s="235" t="s">
        <v>145</v>
      </c>
      <c r="E15" s="236">
        <v>2163</v>
      </c>
      <c r="F15" s="237">
        <v>1729</v>
      </c>
      <c r="G15" s="238" t="s">
        <v>151</v>
      </c>
      <c r="H15" s="239" t="s">
        <v>220</v>
      </c>
      <c r="I15" s="215"/>
      <c r="O15" s="230">
        <v>0.60101710587147483</v>
      </c>
      <c r="P15" s="104">
        <v>0.34702139965297862</v>
      </c>
      <c r="Q15" s="104"/>
    </row>
    <row r="16" spans="1:17" ht="34.5" customHeight="1" thickTop="1" thickBot="1">
      <c r="D16" s="240" t="s">
        <v>16</v>
      </c>
      <c r="E16" s="241">
        <v>12350</v>
      </c>
      <c r="F16" s="241">
        <v>11500</v>
      </c>
      <c r="G16" s="242" t="s">
        <v>152</v>
      </c>
      <c r="H16" s="242" t="s">
        <v>221</v>
      </c>
      <c r="I16" s="215"/>
      <c r="Q16" s="125"/>
    </row>
    <row r="17" spans="1:11" ht="13.5" thickTop="1">
      <c r="C17" s="132"/>
      <c r="D17" s="132"/>
      <c r="E17" s="132"/>
    </row>
    <row r="18" spans="1:11">
      <c r="C18" s="132"/>
      <c r="D18" s="132"/>
      <c r="E18" s="132"/>
    </row>
    <row r="19" spans="1:11">
      <c r="C19" s="132"/>
      <c r="D19" s="132"/>
      <c r="E19" s="132"/>
    </row>
    <row r="20" spans="1:11">
      <c r="C20" s="132"/>
      <c r="D20" s="132"/>
      <c r="E20" s="132"/>
    </row>
    <row r="21" spans="1:11">
      <c r="C21" s="132"/>
      <c r="D21" s="132"/>
      <c r="E21" s="132"/>
    </row>
    <row r="22" spans="1:11" ht="33.75" customHeight="1">
      <c r="A22" s="403" t="s">
        <v>181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</row>
    <row r="23" spans="1:11">
      <c r="C23" s="132"/>
      <c r="D23" s="132"/>
      <c r="E23" s="132"/>
    </row>
    <row r="24" spans="1:11">
      <c r="C24" s="132"/>
      <c r="D24" s="132"/>
      <c r="E24" s="132"/>
    </row>
    <row r="33" spans="3:7" ht="12.75" customHeight="1">
      <c r="C33" s="404"/>
      <c r="D33" s="404"/>
      <c r="E33" s="404"/>
      <c r="F33" s="404"/>
      <c r="G33" s="404"/>
    </row>
    <row r="44" spans="3:7" ht="12.75" customHeight="1">
      <c r="C44" s="377"/>
      <c r="D44" s="377"/>
      <c r="E44" s="377"/>
      <c r="F44" s="377"/>
      <c r="G44" s="377"/>
    </row>
  </sheetData>
  <sheetProtection selectLockedCells="1" selectUnlockedCells="1"/>
  <mergeCells count="9">
    <mergeCell ref="A22:K22"/>
    <mergeCell ref="C33:G33"/>
    <mergeCell ref="C44:G44"/>
    <mergeCell ref="A1:K1"/>
    <mergeCell ref="A5:K5"/>
    <mergeCell ref="E7:F7"/>
    <mergeCell ref="G7:H7"/>
    <mergeCell ref="A2:K2"/>
    <mergeCell ref="A3:K3"/>
  </mergeCells>
  <printOptions horizontalCentered="1" verticalCentered="1"/>
  <pageMargins left="0.23622047244094491" right="0.19685039370078741" top="0.74803149606299213" bottom="0.98425196850393704" header="0.51181102362204722" footer="0.51181102362204722"/>
  <pageSetup paperSize="9" scale="73" firstPageNumber="0" orientation="landscape" verticalDpi="300" r:id="rId1"/>
  <headerFooter scaleWithDoc="0" alignWithMargins="0">
    <oddFooter>&amp;R&amp;"Verdana,Normale"&amp;8MINISTERO DELLA SALUTE  Direzione Generale per l'Igiene e la Sicurezza degli Alimenti e la NutrizionePagina  137/138</oddFooter>
  </headerFooter>
  <rowBreaks count="1" manualBreakCount="1">
    <brk id="20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6"/>
  <sheetViews>
    <sheetView view="pageBreakPreview" zoomScale="60" workbookViewId="0">
      <selection activeCell="T34" sqref="T34:U34"/>
    </sheetView>
  </sheetViews>
  <sheetFormatPr defaultColWidth="9.140625" defaultRowHeight="12.75"/>
  <cols>
    <col min="1" max="1" width="5.5703125" style="32" customWidth="1"/>
    <col min="2" max="15" width="9.140625" style="32"/>
    <col min="16" max="16" width="5.28515625" style="32" customWidth="1"/>
    <col min="17" max="16384" width="9.140625" style="32"/>
  </cols>
  <sheetData>
    <row r="2" spans="1:22" ht="15">
      <c r="A2" s="413" t="s">
        <v>182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22">
      <c r="Q3" s="92" t="s">
        <v>146</v>
      </c>
    </row>
    <row r="5" spans="1:22">
      <c r="Q5" s="32">
        <v>6072</v>
      </c>
      <c r="R5" s="32">
        <v>1993</v>
      </c>
      <c r="S5" s="32">
        <v>4370</v>
      </c>
      <c r="T5" s="32">
        <v>1993</v>
      </c>
      <c r="U5" s="32">
        <v>5.6</v>
      </c>
    </row>
    <row r="6" spans="1:22">
      <c r="Q6" s="32">
        <v>7691</v>
      </c>
      <c r="R6" s="32">
        <v>1994</v>
      </c>
      <c r="S6" s="32">
        <v>4370</v>
      </c>
      <c r="T6" s="32">
        <v>1994</v>
      </c>
      <c r="U6" s="32">
        <v>4.8</v>
      </c>
    </row>
    <row r="7" spans="1:22">
      <c r="Q7" s="32">
        <v>7611</v>
      </c>
      <c r="R7" s="32">
        <v>1995</v>
      </c>
      <c r="S7" s="32">
        <v>4370</v>
      </c>
      <c r="T7" s="32">
        <v>1995</v>
      </c>
      <c r="U7" s="32">
        <v>2.2999999999999998</v>
      </c>
    </row>
    <row r="8" spans="1:22">
      <c r="Q8" s="32">
        <v>7194</v>
      </c>
      <c r="R8" s="32">
        <v>1996</v>
      </c>
      <c r="S8" s="32">
        <v>4370</v>
      </c>
      <c r="T8" s="32">
        <v>1996</v>
      </c>
      <c r="U8" s="32">
        <v>2.1</v>
      </c>
      <c r="V8" s="32">
        <v>3</v>
      </c>
    </row>
    <row r="9" spans="1:22">
      <c r="Q9" s="32">
        <v>7356</v>
      </c>
      <c r="R9" s="32">
        <v>1997</v>
      </c>
      <c r="S9" s="32">
        <v>4370</v>
      </c>
      <c r="T9" s="32">
        <v>1997</v>
      </c>
      <c r="U9" s="32">
        <v>1.7</v>
      </c>
      <c r="V9" s="32">
        <v>3.4</v>
      </c>
    </row>
    <row r="10" spans="1:22">
      <c r="Q10" s="32">
        <v>8498</v>
      </c>
      <c r="R10" s="32">
        <v>1998</v>
      </c>
      <c r="S10" s="32">
        <v>4370</v>
      </c>
      <c r="T10" s="32">
        <v>1998</v>
      </c>
      <c r="U10" s="32">
        <v>1.3</v>
      </c>
      <c r="V10" s="32">
        <v>3.3</v>
      </c>
    </row>
    <row r="11" spans="1:22">
      <c r="Q11" s="32">
        <v>7802</v>
      </c>
      <c r="R11" s="32">
        <v>1999</v>
      </c>
      <c r="S11" s="32">
        <v>4370</v>
      </c>
      <c r="T11" s="32">
        <v>1999</v>
      </c>
      <c r="U11" s="32">
        <v>1.3</v>
      </c>
      <c r="V11" s="32">
        <v>4.3</v>
      </c>
    </row>
    <row r="12" spans="1:22">
      <c r="Q12" s="32">
        <v>8001</v>
      </c>
      <c r="R12" s="32">
        <v>2000</v>
      </c>
      <c r="S12" s="32">
        <v>4370</v>
      </c>
      <c r="T12" s="32">
        <v>2000</v>
      </c>
      <c r="U12" s="32">
        <v>2</v>
      </c>
      <c r="V12" s="32">
        <v>4.5</v>
      </c>
    </row>
    <row r="13" spans="1:22">
      <c r="Q13" s="32">
        <v>8857</v>
      </c>
      <c r="R13" s="32">
        <v>2001</v>
      </c>
      <c r="S13" s="32">
        <v>4370</v>
      </c>
      <c r="T13" s="32">
        <v>2001</v>
      </c>
      <c r="U13" s="32">
        <v>1.3</v>
      </c>
      <c r="V13" s="32">
        <v>3.9</v>
      </c>
    </row>
    <row r="14" spans="1:22">
      <c r="Q14" s="32">
        <v>6926</v>
      </c>
      <c r="R14" s="32">
        <v>2002</v>
      </c>
      <c r="S14" s="32">
        <v>4370</v>
      </c>
      <c r="T14" s="32">
        <v>2002</v>
      </c>
      <c r="U14" s="32">
        <v>1.5</v>
      </c>
      <c r="V14" s="32">
        <v>5.5</v>
      </c>
    </row>
    <row r="15" spans="1:22">
      <c r="Q15" s="32">
        <v>6782</v>
      </c>
      <c r="R15" s="32">
        <v>2003</v>
      </c>
      <c r="S15" s="32">
        <v>4370</v>
      </c>
      <c r="T15" s="32">
        <v>2003</v>
      </c>
      <c r="U15" s="32">
        <v>1.8</v>
      </c>
      <c r="V15" s="32">
        <v>5.5</v>
      </c>
    </row>
    <row r="16" spans="1:22">
      <c r="Q16" s="32">
        <v>6413</v>
      </c>
      <c r="R16" s="32">
        <v>2004</v>
      </c>
      <c r="S16" s="32">
        <v>4370</v>
      </c>
      <c r="T16" s="32">
        <v>2004</v>
      </c>
      <c r="U16" s="32">
        <v>1.3</v>
      </c>
      <c r="V16" s="32">
        <v>5</v>
      </c>
    </row>
    <row r="17" spans="17:22">
      <c r="Q17" s="32">
        <v>6330</v>
      </c>
      <c r="R17" s="32">
        <v>2005</v>
      </c>
      <c r="S17" s="32">
        <v>4370</v>
      </c>
      <c r="T17" s="32">
        <v>2005</v>
      </c>
      <c r="U17" s="32">
        <v>1.5</v>
      </c>
      <c r="V17" s="32">
        <v>5</v>
      </c>
    </row>
    <row r="18" spans="17:22">
      <c r="Q18" s="32">
        <v>6822</v>
      </c>
      <c r="R18" s="32">
        <v>2006</v>
      </c>
      <c r="S18" s="32">
        <v>4370</v>
      </c>
      <c r="T18" s="32">
        <v>2006</v>
      </c>
      <c r="U18" s="32">
        <v>1</v>
      </c>
      <c r="V18" s="243">
        <v>4.7</v>
      </c>
    </row>
    <row r="19" spans="17:22">
      <c r="Q19" s="32">
        <v>6845</v>
      </c>
      <c r="R19" s="32">
        <v>2007</v>
      </c>
      <c r="S19" s="32">
        <v>4370</v>
      </c>
      <c r="T19" s="32">
        <v>2007</v>
      </c>
      <c r="U19" s="243">
        <v>1.1000000000000001</v>
      </c>
      <c r="V19" s="32">
        <v>4</v>
      </c>
    </row>
    <row r="20" spans="17:22">
      <c r="Q20" s="32">
        <v>5515</v>
      </c>
      <c r="R20" s="32">
        <v>2008</v>
      </c>
      <c r="S20" s="32">
        <v>4370</v>
      </c>
      <c r="T20" s="32">
        <v>2008</v>
      </c>
      <c r="U20" s="32">
        <v>1.1000000000000001</v>
      </c>
      <c r="V20" s="32">
        <v>3.5</v>
      </c>
    </row>
    <row r="21" spans="17:22">
      <c r="Q21" s="32">
        <v>4595</v>
      </c>
      <c r="R21" s="32">
        <v>2009</v>
      </c>
      <c r="S21" s="32">
        <v>4370</v>
      </c>
      <c r="T21" s="32">
        <v>2009</v>
      </c>
      <c r="U21" s="32">
        <v>0.7</v>
      </c>
      <c r="V21" s="32">
        <v>2.6</v>
      </c>
    </row>
    <row r="22" spans="17:22">
      <c r="Q22" s="32">
        <v>5376</v>
      </c>
      <c r="R22" s="32">
        <v>2010</v>
      </c>
      <c r="S22" s="32">
        <v>4370</v>
      </c>
      <c r="T22" s="32">
        <v>2010</v>
      </c>
      <c r="U22" s="32">
        <v>0.4</v>
      </c>
      <c r="V22" s="60">
        <v>1.6</v>
      </c>
    </row>
    <row r="23" spans="17:22">
      <c r="R23" s="32">
        <v>2011</v>
      </c>
      <c r="T23" s="32">
        <v>2011</v>
      </c>
      <c r="U23" s="32">
        <v>0.4</v>
      </c>
      <c r="V23" s="60">
        <v>1.5</v>
      </c>
    </row>
    <row r="24" spans="17:22">
      <c r="T24" s="32">
        <v>2012</v>
      </c>
      <c r="U24" s="32">
        <v>0.4</v>
      </c>
      <c r="V24" s="60">
        <v>1.7</v>
      </c>
    </row>
    <row r="25" spans="17:22">
      <c r="T25" s="32">
        <v>2013</v>
      </c>
      <c r="U25" s="32">
        <v>0.5</v>
      </c>
      <c r="V25" s="60">
        <v>1.5</v>
      </c>
    </row>
    <row r="26" spans="17:22">
      <c r="T26" s="32">
        <v>2014</v>
      </c>
      <c r="U26" s="32">
        <v>0.3</v>
      </c>
      <c r="V26" s="60">
        <v>1.6</v>
      </c>
    </row>
    <row r="27" spans="17:22">
      <c r="T27" s="32">
        <v>2015</v>
      </c>
      <c r="U27" s="32">
        <v>1.1000000000000001</v>
      </c>
      <c r="V27" s="60">
        <v>1.6</v>
      </c>
    </row>
    <row r="28" spans="17:22">
      <c r="T28" s="32">
        <v>2016</v>
      </c>
      <c r="U28" s="32">
        <v>0.8</v>
      </c>
      <c r="V28" s="60">
        <v>2.2000000000000002</v>
      </c>
    </row>
    <row r="29" spans="17:22">
      <c r="T29" s="32">
        <v>2017</v>
      </c>
      <c r="U29" s="32">
        <v>0.9</v>
      </c>
      <c r="V29" s="32">
        <v>2.5</v>
      </c>
    </row>
    <row r="30" spans="17:22">
      <c r="T30" s="32">
        <v>2018</v>
      </c>
      <c r="U30" s="32">
        <v>0.9</v>
      </c>
      <c r="V30" s="32">
        <v>2.7</v>
      </c>
    </row>
    <row r="31" spans="17:22">
      <c r="T31" s="32">
        <v>2019</v>
      </c>
      <c r="U31" s="32">
        <v>1.1000000000000001</v>
      </c>
    </row>
    <row r="33" spans="2:15" ht="12.75" customHeight="1">
      <c r="H33" s="404"/>
      <c r="I33" s="404"/>
    </row>
    <row r="36" spans="2:15" ht="15">
      <c r="B36" s="83"/>
      <c r="C36" s="83"/>
      <c r="D36" s="83"/>
      <c r="E36" s="83"/>
      <c r="F36" s="83"/>
      <c r="G36" s="83"/>
      <c r="I36" s="244"/>
      <c r="J36" s="83"/>
      <c r="K36" s="83"/>
      <c r="L36" s="83"/>
      <c r="M36" s="83"/>
      <c r="N36" s="83"/>
      <c r="O36" s="83"/>
    </row>
  </sheetData>
  <sheetProtection selectLockedCells="1" selectUnlockedCells="1"/>
  <mergeCells count="2">
    <mergeCell ref="A2:P2"/>
    <mergeCell ref="H33:I33"/>
  </mergeCells>
  <hyperlinks>
    <hyperlink ref="Q3" location="Indice!A1" display="Indice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9" firstPageNumber="0" orientation="landscape" verticalDpi="300" r:id="rId1"/>
  <headerFooter scaleWithDoc="0" alignWithMargins="0">
    <oddFooter>&amp;R&amp;8MINISTERO DELLA SALUTE  Direzione Generale per l'Igiene e la Sicurezza degli Alimenti e la NutrizionePagina  146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15</vt:i4>
      </vt:variant>
    </vt:vector>
  </HeadingPairs>
  <TitlesOfParts>
    <vt:vector size="24" baseType="lpstr">
      <vt:lpstr>T1 programmazione nazionale  </vt:lpstr>
      <vt:lpstr>T2a programmazione europea v</vt:lpstr>
      <vt:lpstr>T2b programmazione europea A</vt:lpstr>
      <vt:lpstr>T3 Risultati Totali </vt:lpstr>
      <vt:lpstr>T4 risultati regionali</vt:lpstr>
      <vt:lpstr>T5 risultati europei</vt:lpstr>
      <vt:lpstr>T6 risultati all'import</vt:lpstr>
      <vt:lpstr>T7 e Graf.8</vt:lpstr>
      <vt:lpstr>Graf. 9</vt:lpstr>
      <vt:lpstr>'Graf. 9'!Area_stampa</vt:lpstr>
      <vt:lpstr>'T1 programmazione nazionale  '!Area_stampa</vt:lpstr>
      <vt:lpstr>'T2a programmazione europea v'!Area_stampa</vt:lpstr>
      <vt:lpstr>'T2b programmazione europea A'!Area_stampa</vt:lpstr>
      <vt:lpstr>'T3 Risultati Totali '!Area_stampa</vt:lpstr>
      <vt:lpstr>'T4 risultati regionali'!Area_stampa</vt:lpstr>
      <vt:lpstr>'T5 risultati europei'!Area_stampa</vt:lpstr>
      <vt:lpstr>'T6 risultati all''import'!Area_stampa</vt:lpstr>
      <vt:lpstr>'T7 e Graf.8'!Area_stampa</vt:lpstr>
      <vt:lpstr>'T2a programmazione europea v'!OLE_LINK1</vt:lpstr>
      <vt:lpstr>'T1 programmazione nazionale  '!Titoli_stampa</vt:lpstr>
      <vt:lpstr>'T3 Risultati Totali '!Titoli_stampa</vt:lpstr>
      <vt:lpstr>'T5 risultati europei'!Titoli_stampa</vt:lpstr>
      <vt:lpstr>'T6 risultati all''import'!Titoli_stampa</vt:lpstr>
      <vt:lpstr>'T7 e Graf.8'!Titoli_stampa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Aloi Roberta</dc:creator>
  <cp:lastModifiedBy>Giovanni Cardelli</cp:lastModifiedBy>
  <cp:lastPrinted>2020-09-30T10:54:36Z</cp:lastPrinted>
  <dcterms:created xsi:type="dcterms:W3CDTF">2019-05-31T14:06:15Z</dcterms:created>
  <dcterms:modified xsi:type="dcterms:W3CDTF">2020-10-21T07:29:43Z</dcterms:modified>
</cp:coreProperties>
</file>