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8145" firstSheet="4" activeTab="8"/>
  </bookViews>
  <sheets>
    <sheet name="T1 programmazione nazionale  " sheetId="3" r:id="rId1"/>
    <sheet name="T2a programmazione europea v" sheetId="7" r:id="rId2"/>
    <sheet name="T2b programmazione europea A" sheetId="8" r:id="rId3"/>
    <sheet name="T3 Risultati Totali " sheetId="5" r:id="rId4"/>
    <sheet name="T4 risultati regionali" sheetId="4" r:id="rId5"/>
    <sheet name="T5 risultati europei" sheetId="9" r:id="rId6"/>
    <sheet name="T6 risultati all'import" sheetId="10" r:id="rId7"/>
    <sheet name="T7 e Graf.8" sheetId="11" r:id="rId8"/>
    <sheet name="Graf. 9" sheetId="12" r:id="rId9"/>
  </sheets>
  <definedNames>
    <definedName name="_xlnm._FilterDatabase" localSheetId="3" hidden="1">'T3 Risultati Totali '!#REF!</definedName>
    <definedName name="_xlnm._FilterDatabase" localSheetId="6" hidden="1">'T6 risultati all''import'!#REF!</definedName>
    <definedName name="_xlnm.Print_Area" localSheetId="8">'Graf. 9'!$A$1:$P$36</definedName>
    <definedName name="_xlnm.Print_Area" localSheetId="0">'T1 programmazione nazionale  '!$A$1:$K$57</definedName>
    <definedName name="_xlnm.Print_Area" localSheetId="1">'T2a programmazione europea v'!$A$1:$N$30</definedName>
    <definedName name="_xlnm.Print_Area" localSheetId="2">'T2b programmazione europea A'!$A$1:$M$29</definedName>
    <definedName name="_xlnm.Print_Area" localSheetId="3">'T3 Risultati Totali '!$A$1:$J$42</definedName>
    <definedName name="_xlnm.Print_Area" localSheetId="4">'T4 risultati regionali'!$A$1:$O$73</definedName>
    <definedName name="_xlnm.Print_Area" localSheetId="5">'T5 risultati europei'!$A$1:$H$22</definedName>
    <definedName name="_xlnm.Print_Area" localSheetId="6">'T6 risultati all''import'!$A$1:$J$16</definedName>
    <definedName name="_xlnm.Print_Area" localSheetId="7">'T7 e Graf.8'!$A$1:$K$57</definedName>
    <definedName name="_xlnm.Print_Titles" localSheetId="0">'T1 programmazione nazionale  '!$1:$3</definedName>
    <definedName name="_xlnm.Print_Titles" localSheetId="3">'T3 Risultati Totali '!$1:$3</definedName>
    <definedName name="_xlnm.Print_Titles" localSheetId="5">'T5 risultati europei'!$1:$3</definedName>
    <definedName name="_xlnm.Print_Titles" localSheetId="6">'T6 risultati all''import'!$1:$3</definedName>
    <definedName name="_xlnm.Print_Titles" localSheetId="7">'T7 e Graf.8'!$1:$2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U28" i="10"/>
  <c r="S28" i="10"/>
  <c r="Q28" i="10"/>
  <c r="P28" i="10"/>
  <c r="K15" i="10"/>
  <c r="H15" i="10"/>
  <c r="F15" i="10"/>
  <c r="D15" i="10"/>
  <c r="K16" i="10" s="1"/>
  <c r="C15" i="10"/>
  <c r="I15" i="10" s="1"/>
  <c r="K14" i="10"/>
  <c r="I14" i="10"/>
  <c r="G14" i="10"/>
  <c r="E14" i="10"/>
  <c r="L14" i="10" s="1"/>
  <c r="K13" i="10"/>
  <c r="G13" i="10"/>
  <c r="L13" i="10" s="1"/>
  <c r="E13" i="10"/>
  <c r="K12" i="10"/>
  <c r="I12" i="10"/>
  <c r="G12" i="10"/>
  <c r="E12" i="10"/>
  <c r="L12" i="10" s="1"/>
  <c r="K11" i="10"/>
  <c r="I11" i="10"/>
  <c r="G11" i="10"/>
  <c r="L11" i="10" s="1"/>
  <c r="K10" i="10"/>
  <c r="I10" i="10"/>
  <c r="G10" i="10"/>
  <c r="E10" i="10"/>
  <c r="L10" i="10" s="1"/>
  <c r="K9" i="10"/>
  <c r="I9" i="10"/>
  <c r="G9" i="10"/>
  <c r="E9" i="10"/>
  <c r="L9" i="10" s="1"/>
  <c r="G21" i="9"/>
  <c r="H21" i="9" s="1"/>
  <c r="E21" i="9"/>
  <c r="F21" i="9" s="1"/>
  <c r="C21" i="9"/>
  <c r="D21" i="9" s="1"/>
  <c r="B21" i="9"/>
  <c r="J20" i="9"/>
  <c r="H20" i="9"/>
  <c r="F20" i="9"/>
  <c r="D20" i="9"/>
  <c r="I20" i="9" s="1"/>
  <c r="J19" i="9"/>
  <c r="H19" i="9"/>
  <c r="F19" i="9"/>
  <c r="I19" i="9" s="1"/>
  <c r="D19" i="9"/>
  <c r="J18" i="9"/>
  <c r="H18" i="9"/>
  <c r="F18" i="9"/>
  <c r="D18" i="9"/>
  <c r="I18" i="9" s="1"/>
  <c r="J17" i="9"/>
  <c r="H17" i="9"/>
  <c r="F17" i="9"/>
  <c r="I17" i="9" s="1"/>
  <c r="D17" i="9"/>
  <c r="J16" i="9"/>
  <c r="H16" i="9"/>
  <c r="F16" i="9"/>
  <c r="D16" i="9"/>
  <c r="I16" i="9" s="1"/>
  <c r="J15" i="9"/>
  <c r="H15" i="9"/>
  <c r="F15" i="9"/>
  <c r="I15" i="9" s="1"/>
  <c r="D15" i="9"/>
  <c r="J14" i="9"/>
  <c r="H14" i="9"/>
  <c r="F14" i="9"/>
  <c r="D14" i="9"/>
  <c r="I14" i="9" s="1"/>
  <c r="J13" i="9"/>
  <c r="H13" i="9"/>
  <c r="F13" i="9"/>
  <c r="I13" i="9" s="1"/>
  <c r="D13" i="9"/>
  <c r="J12" i="9"/>
  <c r="H12" i="9"/>
  <c r="F12" i="9"/>
  <c r="D12" i="9"/>
  <c r="I12" i="9" s="1"/>
  <c r="J11" i="9"/>
  <c r="H11" i="9"/>
  <c r="F11" i="9"/>
  <c r="I11" i="9" s="1"/>
  <c r="D11" i="9"/>
  <c r="J10" i="9"/>
  <c r="H10" i="9"/>
  <c r="F10" i="9"/>
  <c r="D10" i="9"/>
  <c r="I10" i="9" s="1"/>
  <c r="J9" i="9"/>
  <c r="H9" i="9"/>
  <c r="F9" i="9"/>
  <c r="I9" i="9" s="1"/>
  <c r="D9" i="9"/>
  <c r="J8" i="9"/>
  <c r="J21" i="9" s="1"/>
  <c r="H8" i="9"/>
  <c r="F8" i="9"/>
  <c r="D8" i="9"/>
  <c r="I8" i="9" s="1"/>
  <c r="G32" i="4"/>
  <c r="M32" i="4" s="1"/>
  <c r="F32" i="4"/>
  <c r="L32" i="4" s="1"/>
  <c r="E32" i="4"/>
  <c r="K32" i="4" s="1"/>
  <c r="D32" i="4"/>
  <c r="J32" i="4" s="1"/>
  <c r="C32" i="4"/>
  <c r="H32" i="4" s="1"/>
  <c r="N32" i="4" s="1"/>
  <c r="M31" i="4"/>
  <c r="L31" i="4"/>
  <c r="K31" i="4"/>
  <c r="J31" i="4"/>
  <c r="I31" i="4"/>
  <c r="H31" i="4"/>
  <c r="N31" i="4" s="1"/>
  <c r="M30" i="4"/>
  <c r="L30" i="4"/>
  <c r="K30" i="4"/>
  <c r="J30" i="4"/>
  <c r="I30" i="4"/>
  <c r="H30" i="4"/>
  <c r="N30" i="4" s="1"/>
  <c r="M29" i="4"/>
  <c r="L29" i="4"/>
  <c r="K29" i="4"/>
  <c r="J29" i="4"/>
  <c r="I29" i="4"/>
  <c r="H29" i="4"/>
  <c r="N29" i="4" s="1"/>
  <c r="M28" i="4"/>
  <c r="L28" i="4"/>
  <c r="K28" i="4"/>
  <c r="J28" i="4"/>
  <c r="I28" i="4"/>
  <c r="H28" i="4"/>
  <c r="N28" i="4" s="1"/>
  <c r="M27" i="4"/>
  <c r="L27" i="4"/>
  <c r="K27" i="4"/>
  <c r="J27" i="4"/>
  <c r="I27" i="4"/>
  <c r="H27" i="4"/>
  <c r="N27" i="4" s="1"/>
  <c r="M26" i="4"/>
  <c r="L26" i="4"/>
  <c r="K26" i="4"/>
  <c r="J26" i="4"/>
  <c r="I26" i="4"/>
  <c r="H26" i="4"/>
  <c r="N26" i="4" s="1"/>
  <c r="M25" i="4"/>
  <c r="L25" i="4"/>
  <c r="K25" i="4"/>
  <c r="J25" i="4"/>
  <c r="I25" i="4"/>
  <c r="H25" i="4"/>
  <c r="N25" i="4" s="1"/>
  <c r="M24" i="4"/>
  <c r="L24" i="4"/>
  <c r="K24" i="4"/>
  <c r="J24" i="4"/>
  <c r="I24" i="4"/>
  <c r="H24" i="4"/>
  <c r="N24" i="4" s="1"/>
  <c r="M23" i="4"/>
  <c r="L23" i="4"/>
  <c r="K23" i="4"/>
  <c r="J23" i="4"/>
  <c r="I23" i="4"/>
  <c r="H23" i="4"/>
  <c r="N23" i="4" s="1"/>
  <c r="M22" i="4"/>
  <c r="L22" i="4"/>
  <c r="K22" i="4"/>
  <c r="J22" i="4"/>
  <c r="I22" i="4"/>
  <c r="H22" i="4"/>
  <c r="N22" i="4" s="1"/>
  <c r="M21" i="4"/>
  <c r="L21" i="4"/>
  <c r="K21" i="4"/>
  <c r="J21" i="4"/>
  <c r="I21" i="4"/>
  <c r="H21" i="4"/>
  <c r="N21" i="4" s="1"/>
  <c r="M20" i="4"/>
  <c r="L20" i="4"/>
  <c r="K20" i="4"/>
  <c r="J20" i="4"/>
  <c r="I20" i="4"/>
  <c r="H20" i="4"/>
  <c r="N20" i="4" s="1"/>
  <c r="M19" i="4"/>
  <c r="L19" i="4"/>
  <c r="K19" i="4"/>
  <c r="J19" i="4"/>
  <c r="I19" i="4"/>
  <c r="H19" i="4"/>
  <c r="N19" i="4" s="1"/>
  <c r="M18" i="4"/>
  <c r="L18" i="4"/>
  <c r="K18" i="4"/>
  <c r="J18" i="4"/>
  <c r="I18" i="4"/>
  <c r="H18" i="4"/>
  <c r="N18" i="4" s="1"/>
  <c r="M17" i="4"/>
  <c r="L17" i="4"/>
  <c r="K17" i="4"/>
  <c r="J17" i="4"/>
  <c r="I17" i="4"/>
  <c r="H17" i="4"/>
  <c r="N17" i="4" s="1"/>
  <c r="M16" i="4"/>
  <c r="L16" i="4"/>
  <c r="K16" i="4"/>
  <c r="J16" i="4"/>
  <c r="I16" i="4"/>
  <c r="H16" i="4"/>
  <c r="N16" i="4" s="1"/>
  <c r="M15" i="4"/>
  <c r="L15" i="4"/>
  <c r="K15" i="4"/>
  <c r="J15" i="4"/>
  <c r="I15" i="4"/>
  <c r="H15" i="4"/>
  <c r="N15" i="4" s="1"/>
  <c r="M14" i="4"/>
  <c r="L14" i="4"/>
  <c r="K14" i="4"/>
  <c r="J14" i="4"/>
  <c r="I14" i="4"/>
  <c r="H14" i="4"/>
  <c r="N14" i="4" s="1"/>
  <c r="M13" i="4"/>
  <c r="L13" i="4"/>
  <c r="K13" i="4"/>
  <c r="J13" i="4"/>
  <c r="I13" i="4"/>
  <c r="H13" i="4"/>
  <c r="N13" i="4" s="1"/>
  <c r="M12" i="4"/>
  <c r="L12" i="4"/>
  <c r="K12" i="4"/>
  <c r="J12" i="4"/>
  <c r="I12" i="4"/>
  <c r="H12" i="4"/>
  <c r="N12" i="4" s="1"/>
  <c r="M11" i="4"/>
  <c r="L11" i="4"/>
  <c r="K11" i="4"/>
  <c r="J11" i="4"/>
  <c r="I11" i="4"/>
  <c r="H11" i="4"/>
  <c r="N11" i="4" s="1"/>
  <c r="C16" i="5"/>
  <c r="E56" i="3"/>
  <c r="I55" i="3"/>
  <c r="H55" i="3"/>
  <c r="G55" i="3"/>
  <c r="J55" i="3" s="1"/>
  <c r="J51" i="3"/>
  <c r="I48" i="3"/>
  <c r="H48" i="3"/>
  <c r="J48" i="3" s="1"/>
  <c r="G48" i="3"/>
  <c r="J45" i="3"/>
  <c r="I45" i="3"/>
  <c r="I43" i="3"/>
  <c r="H43" i="3"/>
  <c r="J43" i="3" s="1"/>
  <c r="G43" i="3"/>
  <c r="I42" i="3"/>
  <c r="H42" i="3"/>
  <c r="J42" i="3" s="1"/>
  <c r="G42" i="3"/>
  <c r="I41" i="3"/>
  <c r="H41" i="3"/>
  <c r="J41" i="3" s="1"/>
  <c r="G41" i="3"/>
  <c r="I38" i="3"/>
  <c r="H38" i="3"/>
  <c r="J38" i="3" s="1"/>
  <c r="G38" i="3"/>
  <c r="J35" i="3"/>
  <c r="I34" i="3"/>
  <c r="G34" i="3"/>
  <c r="J34" i="3" s="1"/>
  <c r="I32" i="3"/>
  <c r="H32" i="3"/>
  <c r="J32" i="3" s="1"/>
  <c r="G32" i="3"/>
  <c r="I29" i="3"/>
  <c r="G29" i="3"/>
  <c r="J29" i="3" s="1"/>
  <c r="I26" i="3"/>
  <c r="H26" i="3"/>
  <c r="G26" i="3"/>
  <c r="J26" i="3" s="1"/>
  <c r="I24" i="3"/>
  <c r="H24" i="3"/>
  <c r="G24" i="3"/>
  <c r="J24" i="3" s="1"/>
  <c r="I22" i="3"/>
  <c r="H22" i="3"/>
  <c r="G22" i="3"/>
  <c r="J22" i="3" s="1"/>
  <c r="I20" i="3"/>
  <c r="I56" i="3" s="1"/>
  <c r="G20" i="3"/>
  <c r="J20" i="3" s="1"/>
  <c r="I14" i="3"/>
  <c r="H14" i="3"/>
  <c r="J14" i="3" s="1"/>
  <c r="G14" i="3"/>
  <c r="J13" i="3"/>
  <c r="J10" i="3"/>
  <c r="I8" i="3"/>
  <c r="H8" i="3"/>
  <c r="J8" i="3" s="1"/>
  <c r="G8" i="3"/>
  <c r="I7" i="3"/>
  <c r="H7" i="3"/>
  <c r="H56" i="3" s="1"/>
  <c r="G7" i="3"/>
  <c r="F7" i="3"/>
  <c r="F56" i="3" s="1"/>
  <c r="E7" i="3"/>
  <c r="I21" i="9" l="1"/>
  <c r="J7" i="3"/>
  <c r="J56" i="3" s="1"/>
  <c r="G56" i="3"/>
  <c r="I32" i="4"/>
  <c r="E15" i="10"/>
  <c r="L15" i="10" s="1"/>
  <c r="G15" i="10"/>
</calcChain>
</file>

<file path=xl/sharedStrings.xml><?xml version="1.0" encoding="utf-8"?>
<sst xmlns="http://schemas.openxmlformats.org/spreadsheetml/2006/main" count="410" uniqueCount="225">
  <si>
    <t>Prodotti alimentari</t>
  </si>
  <si>
    <t>Totale campioni</t>
  </si>
  <si>
    <t>Campioni regolari</t>
  </si>
  <si>
    <t>Campioni con residui superiori al limite di legge (LMR)</t>
  </si>
  <si>
    <t>Campioni con residui superiori al limite di legge                            (%)</t>
  </si>
  <si>
    <t xml:space="preserve">Campioni con residui assenti  </t>
  </si>
  <si>
    <t>Campioni con residui assenti                                    (%)</t>
  </si>
  <si>
    <t>Campioni con residui inferiori al limite di legge (LMR)</t>
  </si>
  <si>
    <t>Campioni con residui inferiori al limite di legge                     (%)</t>
  </si>
  <si>
    <t>Frutta</t>
  </si>
  <si>
    <t>Ortaggi</t>
  </si>
  <si>
    <t>Cereali*</t>
  </si>
  <si>
    <t>Olio</t>
  </si>
  <si>
    <t>Vino</t>
  </si>
  <si>
    <t>Baby  food</t>
  </si>
  <si>
    <t>Altri prodotti **</t>
  </si>
  <si>
    <t>Totale</t>
  </si>
  <si>
    <t>categ_prod</t>
  </si>
  <si>
    <t>Tot</t>
  </si>
  <si>
    <t>regolare senza residui</t>
  </si>
  <si>
    <t>regolare con residui</t>
  </si>
  <si>
    <t>irregolare</t>
  </si>
  <si>
    <t>carni_altro</t>
  </si>
  <si>
    <t>cereali</t>
  </si>
  <si>
    <t>cereali_trasformati</t>
  </si>
  <si>
    <t>frutta</t>
  </si>
  <si>
    <t>frutta_trasformata</t>
  </si>
  <si>
    <t>latte_trasformato</t>
  </si>
  <si>
    <t>miele_altro</t>
  </si>
  <si>
    <t>olio</t>
  </si>
  <si>
    <t>ortaggi</t>
  </si>
  <si>
    <t>ortaggi_trasformati</t>
  </si>
  <si>
    <t>pesce_altro</t>
  </si>
  <si>
    <t>piante_da_zucchero_altro</t>
  </si>
  <si>
    <t>piante_da_zucchero_trasformate</t>
  </si>
  <si>
    <t>semi_frutti_oleaginosi_altro</t>
  </si>
  <si>
    <t>semi_frutti_oleaginosi_trasformati</t>
  </si>
  <si>
    <t>spezie_altro</t>
  </si>
  <si>
    <t>Tea_coffee_herbal_infusions_ cocoa_and_carobs_altro</t>
  </si>
  <si>
    <t>Tea_coffee_herbal_infusions_ cocoa_and_carobs_trasformate</t>
  </si>
  <si>
    <t>vino</t>
  </si>
  <si>
    <t>REGIONE</t>
  </si>
  <si>
    <t>(ARPA/Laboratori delle AASSLL/IZS)  Laboratori che hanno inviato i dati</t>
  </si>
  <si>
    <t>CAMPIONI ATTESI</t>
  </si>
  <si>
    <t>Cereali</t>
  </si>
  <si>
    <t>TOTALE</t>
  </si>
  <si>
    <t xml:space="preserve">Abruzzo </t>
  </si>
  <si>
    <t>Istituto Zooprofilattico Sperimentale dell'Abruzzo e del Molise</t>
  </si>
  <si>
    <t>Basilicata</t>
  </si>
  <si>
    <t xml:space="preserve">Istituto Zooprofilattico Sperimentale della Puglia e della Basilicata </t>
  </si>
  <si>
    <t xml:space="preserve">Istituto Zooprofilattico Sperimentale dell'Abruzzo e del Molise 
</t>
  </si>
  <si>
    <t>Bolzano (P.A.)</t>
  </si>
  <si>
    <t>IZS delle Venezie</t>
  </si>
  <si>
    <t>Appa Bolzano</t>
  </si>
  <si>
    <t>Calabria</t>
  </si>
  <si>
    <t>Istituto Zooprofilattico Sperimentale del Mezzogiorno  ( Istituto Zooprofilattico Sperimentale dell'Abruzzo e del Molise)</t>
  </si>
  <si>
    <t>Campania</t>
  </si>
  <si>
    <t>Arpac Campania - Napoli</t>
  </si>
  <si>
    <t>Istituto Zooprofilattico Sperimentale del Mezzogiorno</t>
  </si>
  <si>
    <t>Emilia Romagna</t>
  </si>
  <si>
    <t>Arpa Emilia Romagna - Ferrara</t>
  </si>
  <si>
    <t xml:space="preserve">Istituto Zooprofilattico Sperimentale della Lombardia e dell'Emilia Romagna </t>
  </si>
  <si>
    <t>Friuli Venezia Giulia</t>
  </si>
  <si>
    <t xml:space="preserve">Istituto Zooprofilattico Sperimentale delle Venezie </t>
  </si>
  <si>
    <t>Lazio</t>
  </si>
  <si>
    <t>Arpa Lazio - Latina</t>
  </si>
  <si>
    <t xml:space="preserve">Istituto Zooprofilattico Sperimentale del Lazio e della Toscana </t>
  </si>
  <si>
    <t>Liguria</t>
  </si>
  <si>
    <t>Arpal Liguria - La Spezia</t>
  </si>
  <si>
    <t>Arpav Veneto - Verona</t>
  </si>
  <si>
    <t>Istituto Zooprofilattico Sperimentale del Piemonte, Liguria e Valle d'Aosta</t>
  </si>
  <si>
    <t>Istituto Zooprofilattico Sperimentale dell'Umbria e delle Marche</t>
  </si>
  <si>
    <t>Lombardia</t>
  </si>
  <si>
    <t>ATS Bergamo</t>
  </si>
  <si>
    <t>ATS Milano</t>
  </si>
  <si>
    <t>Marche</t>
  </si>
  <si>
    <t>Arpam Marche - Macerata</t>
  </si>
  <si>
    <t>Molise</t>
  </si>
  <si>
    <t xml:space="preserve">Istituto Zooprofilattico Sperimentale dell'Abruzzo e del Molise </t>
  </si>
  <si>
    <t>Piemonte</t>
  </si>
  <si>
    <t>Puglia</t>
  </si>
  <si>
    <t>Arpa Puglia - Bari</t>
  </si>
  <si>
    <t>Sardegna</t>
  </si>
  <si>
    <t>Istituto Zooprofilattico Sperimentale della Sardegna</t>
  </si>
  <si>
    <t>Sicilia</t>
  </si>
  <si>
    <t>Istituto Zooprofilattico Sperimentale della Sicilia</t>
  </si>
  <si>
    <t>Toscana</t>
  </si>
  <si>
    <t>Laboratorio Azienda USL Toscana Centro</t>
  </si>
  <si>
    <t>Trento (P.A.)</t>
  </si>
  <si>
    <t>Umbria</t>
  </si>
  <si>
    <t>Valle d'Aosta</t>
  </si>
  <si>
    <t>Arpa Valle d'Aosta</t>
  </si>
  <si>
    <t>Veneto</t>
  </si>
  <si>
    <t xml:space="preserve">  Totale nazionale</t>
  </si>
  <si>
    <t>Decreto Ministeriale del 23 dicembre 1992</t>
  </si>
  <si>
    <t>Tab. 4</t>
  </si>
  <si>
    <t xml:space="preserve">REGIONE </t>
  </si>
  <si>
    <t>CAMPIONI ANALIZZATI</t>
  </si>
  <si>
    <t>% CAMPIONI ANALIZZATI / CAMPIONI ATTESI</t>
  </si>
  <si>
    <t>CAMPIONI EFFETTUATI SU ATTESI</t>
  </si>
  <si>
    <t>name</t>
  </si>
  <si>
    <t>ABRUZZO</t>
  </si>
  <si>
    <t>BASILICATA</t>
  </si>
  <si>
    <t>PROV. AUTON. BOLZANO</t>
  </si>
  <si>
    <t xml:space="preserve">Calabria </t>
  </si>
  <si>
    <t>CALABRIA</t>
  </si>
  <si>
    <t>CAMPANIA</t>
  </si>
  <si>
    <t>EMILIA ROMAGNA</t>
  </si>
  <si>
    <t>Friuli V.G.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</si>
  <si>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</si>
  <si>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</si>
  <si>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</si>
  <si>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</si>
  <si>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</si>
  <si>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</si>
  <si>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</si>
  <si>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</si>
  <si>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</si>
  <si>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</si>
  <si>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</si>
  <si>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PROV. AUTON. TRENTO</t>
  </si>
  <si>
    <t>UMBRIA</t>
  </si>
  <si>
    <t>VALLE D`AOSTA</t>
  </si>
  <si>
    <t>VENETO</t>
  </si>
  <si>
    <t>* I campioni di cereali comprendono anche i trasformati(farine-riso brillato, etc)</t>
  </si>
  <si>
    <t>Graf. 4</t>
  </si>
  <si>
    <t>ANNO 2018</t>
  </si>
  <si>
    <t>Programmazione nazionale dei campionamenti e laboratori che hanno effettuato le analisi</t>
  </si>
  <si>
    <t xml:space="preserve"> CAMPIONAMENTO DELLE REGIONI</t>
  </si>
  <si>
    <t xml:space="preserve">Regione </t>
  </si>
  <si>
    <t>Bolzano/Bozen</t>
  </si>
  <si>
    <t>Trento</t>
  </si>
  <si>
    <t>Friuli-Venezia Giulia</t>
  </si>
  <si>
    <t>Emilia-Romagna</t>
  </si>
  <si>
    <t>Abruzzo</t>
  </si>
  <si>
    <t xml:space="preserve"> Programmazione europea degli alimenti di origine vegetale e dei baby food</t>
  </si>
  <si>
    <t>Tab.3</t>
  </si>
  <si>
    <t>Tab. 2b</t>
  </si>
  <si>
    <t>Tab. 2a</t>
  </si>
  <si>
    <t>Tab. 1</t>
  </si>
  <si>
    <t>Risultati dei controlli ufficiali analizzati dalle Regioni e Province autonome di Trento e Bolzano</t>
  </si>
  <si>
    <t>RISULTATI TOTALI DEI CAMPIONAMENTI</t>
  </si>
  <si>
    <r>
      <t xml:space="preserve">PIANO NAZIONALE RESIDUI DI PRODOTTI FITOSANITARI IN ALIMENTI </t>
    </r>
    <r>
      <rPr>
        <b/>
        <i/>
        <sz val="72"/>
        <rFont val="Arial"/>
        <family val="2"/>
      </rPr>
      <t>(D.M. 23 DICEMBRE 1992)</t>
    </r>
  </si>
  <si>
    <t>RESIDUI DI PRODOTTI FITOSANITARI IN ALIMENTI</t>
  </si>
  <si>
    <t xml:space="preserve">Campioni senza residui   </t>
  </si>
  <si>
    <t>Campioni senza residui                                     (%)</t>
  </si>
  <si>
    <t>totale</t>
  </si>
  <si>
    <t>RISULTATI dei Campionamenti EUROPEI</t>
  </si>
  <si>
    <t>Tab. 5</t>
  </si>
  <si>
    <t>Tab. 7</t>
  </si>
  <si>
    <t>Tab. 6</t>
  </si>
  <si>
    <t>CAMPIONAMENTI</t>
  </si>
  <si>
    <t>IRREGOLARITA'</t>
  </si>
  <si>
    <t>anno</t>
  </si>
  <si>
    <t>44(1,2%)</t>
  </si>
  <si>
    <t>45(1,5%)</t>
  </si>
  <si>
    <t>2(0,1%)</t>
  </si>
  <si>
    <t>0(0,0%)</t>
  </si>
  <si>
    <t>0(0.0%)</t>
  </si>
  <si>
    <t>baby food</t>
  </si>
  <si>
    <t>altri prodotti</t>
  </si>
  <si>
    <t>18(0,8%)</t>
  </si>
  <si>
    <t>109(0,9%)</t>
  </si>
  <si>
    <t>Indice</t>
  </si>
  <si>
    <t>altro</t>
  </si>
  <si>
    <t>35 (0.9%)</t>
  </si>
  <si>
    <t>55(1,6%)</t>
  </si>
  <si>
    <t>8(0,5%)</t>
  </si>
  <si>
    <t>13(0,6%)</t>
  </si>
  <si>
    <t>111(0,9%)</t>
  </si>
  <si>
    <t xml:space="preserve">Regione/Province </t>
  </si>
  <si>
    <t>Uve da tavola</t>
  </si>
  <si>
    <t>Banane**</t>
  </si>
  <si>
    <t>Pompelmi****</t>
  </si>
  <si>
    <t>Melanzane</t>
  </si>
  <si>
    <t>Cavoli broccoli</t>
  </si>
  <si>
    <t>Meloni</t>
  </si>
  <si>
    <t>Funghi coltivati**</t>
  </si>
  <si>
    <t>Peperoni</t>
  </si>
  <si>
    <t>Molise*****</t>
  </si>
  <si>
    <t xml:space="preserve">Grasso bovino </t>
  </si>
  <si>
    <t>Uova di gallina</t>
  </si>
  <si>
    <t>Valle d'Aosta*</t>
  </si>
  <si>
    <t>Bolzano**</t>
  </si>
  <si>
    <t>Trento**</t>
  </si>
  <si>
    <t>Molise*</t>
  </si>
  <si>
    <t>APPATrento</t>
  </si>
  <si>
    <t>Istituto Zooprofilattico Sperimentale Lazio e Toscana</t>
  </si>
  <si>
    <t>Olio di oliva</t>
  </si>
  <si>
    <t>baby food a base di cereali</t>
  </si>
  <si>
    <t xml:space="preserve">Chicchi di frumento </t>
  </si>
  <si>
    <t>Olio di oliva***</t>
  </si>
  <si>
    <t>Alimenti per bambini a base di cereali</t>
  </si>
  <si>
    <t>Pompelmi</t>
  </si>
  <si>
    <t>Banane</t>
  </si>
  <si>
    <t>Funghi coltivati</t>
  </si>
  <si>
    <t>** frutta, ortaggi, cereali processati- alimenti di origine animale (carni processate e non , miele processato e non, uova  processate e non, latte processato e non, pesci processato e non), piante da zucchero processate e non, spezie,  semi e frutti oleaginosi processati e non,  te, caffe, erbe infusionali, cacao e carrube processati e non</t>
  </si>
  <si>
    <t>* compresi alcuni  cereali trasformati (farine, riso brillato e i decorticati)</t>
  </si>
  <si>
    <t xml:space="preserve">uve da tavola </t>
  </si>
  <si>
    <t>banane</t>
  </si>
  <si>
    <t>pompelmi</t>
  </si>
  <si>
    <t>melanzane</t>
  </si>
  <si>
    <t>cavoli broccoli</t>
  </si>
  <si>
    <t>meloni</t>
  </si>
  <si>
    <t>funghi coltivati</t>
  </si>
  <si>
    <t>peperoni</t>
  </si>
  <si>
    <t>chicchi di frumento</t>
  </si>
  <si>
    <t>olio di oliva</t>
  </si>
  <si>
    <t>grasso bovino</t>
  </si>
  <si>
    <t>uova di galline</t>
  </si>
  <si>
    <t>Arpa Friuli Venezia Giulia - Udine</t>
  </si>
  <si>
    <t>N.B. Il totale nazionale non corrisponde alla somma dei laboratori per regione in quanto alcuni laboratori  operano in più regioni.</t>
  </si>
  <si>
    <t>Ortaggi***</t>
  </si>
  <si>
    <t xml:space="preserve">***nella categoria ortaggi sono contenuti anche i legumi secchi </t>
  </si>
  <si>
    <t>per gli asterischi vedi tabelle precedenti</t>
  </si>
  <si>
    <t>Ortaggi**</t>
  </si>
  <si>
    <t>** sono inclusi anche i campioni di legumi secchi</t>
  </si>
  <si>
    <t>Graf. 8</t>
  </si>
  <si>
    <t>Graf.9</t>
  </si>
  <si>
    <t>Programmazione europea degli alimenti di origine animale</t>
  </si>
  <si>
    <t>INDIRIZZI DIRIGENZIALI DI CUI ALLA NOTA 9948 del 14 marzo 2018</t>
  </si>
  <si>
    <t xml:space="preserve">INDIRIZZI DIRIGENZIALI DI CUI ALLA NOTA 9948 del 14 marzo 2018 </t>
  </si>
  <si>
    <t>RISULTATI DEI CAMPIONAMENTI ALL'IMPORTAZIONE</t>
  </si>
  <si>
    <t xml:space="preserve"> ANNI 2017- 2018</t>
  </si>
  <si>
    <t>Andamento nel tempo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</si>
</sst>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5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72"/>
      <name val="Arial"/>
      <family val="2"/>
    </font>
    <font>
      <b/>
      <i/>
      <sz val="72"/>
      <name val="Arial"/>
      <family val="2"/>
    </font>
    <font>
      <b/>
      <sz val="48"/>
      <color indexed="10"/>
      <name val="Arial"/>
      <family val="2"/>
    </font>
    <font>
      <sz val="10"/>
      <name val="Arial"/>
      <family val="2"/>
    </font>
    <font>
      <b/>
      <sz val="48"/>
      <name val="Verdana"/>
      <family val="2"/>
    </font>
    <font>
      <sz val="36"/>
      <name val="Arial"/>
      <family val="2"/>
    </font>
    <font>
      <b/>
      <sz val="3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36"/>
      <name val="Verdana"/>
      <family val="2"/>
    </font>
    <font>
      <sz val="20"/>
      <name val="Arial"/>
      <family val="2"/>
    </font>
    <font>
      <b/>
      <sz val="22"/>
      <name val="Arial"/>
      <family val="2"/>
    </font>
    <font>
      <b/>
      <i/>
      <sz val="1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sz val="12"/>
      <name val="Verdana"/>
      <family val="2"/>
    </font>
    <font>
      <sz val="20"/>
      <name val="Verdana"/>
      <family val="2"/>
    </font>
    <font>
      <b/>
      <sz val="28"/>
      <name val="Verdana"/>
      <family val="2"/>
    </font>
    <font>
      <b/>
      <sz val="9"/>
      <name val="Arial"/>
      <family val="2"/>
    </font>
    <font>
      <sz val="16"/>
      <name val="Arial"/>
      <family val="2"/>
    </font>
    <font>
      <u/>
      <sz val="10"/>
      <color indexed="12"/>
      <name val="Arial"/>
      <family val="2"/>
    </font>
    <font>
      <b/>
      <sz val="18"/>
      <name val="Verdana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26"/>
      <name val="Arial"/>
      <family val="2"/>
    </font>
    <font>
      <b/>
      <sz val="24"/>
      <name val="Arial"/>
      <family val="2"/>
    </font>
    <font>
      <b/>
      <sz val="18"/>
      <color rgb="FF000000"/>
      <name val="EUAlbertina"/>
    </font>
    <font>
      <b/>
      <sz val="18"/>
      <color rgb="FF000000"/>
      <name val="Arial"/>
      <family val="2"/>
    </font>
    <font>
      <b/>
      <sz val="18"/>
      <name val="Times New Roman"/>
      <family val="1"/>
    </font>
    <font>
      <b/>
      <sz val="16"/>
      <name val="Verdana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b/>
      <sz val="20"/>
      <name val="Verdana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2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48"/>
      <color theme="1"/>
      <name val="Arial"/>
      <family val="2"/>
    </font>
    <font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7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45"/>
        <bgColor indexed="46"/>
      </patternFill>
    </fill>
    <fill>
      <patternFill patternType="solid">
        <fgColor indexed="44"/>
        <bgColor indexed="41"/>
      </patternFill>
    </fill>
    <fill>
      <patternFill patternType="solid">
        <fgColor rgb="FFFF9966"/>
        <bgColor indexed="45"/>
      </patternFill>
    </fill>
    <fill>
      <patternFill patternType="solid">
        <fgColor indexed="22"/>
        <bgColor indexed="0"/>
      </patternFill>
    </fill>
    <fill>
      <patternFill patternType="solid">
        <fgColor indexed="55"/>
        <bgColor indexed="19"/>
      </patternFill>
    </fill>
    <fill>
      <patternFill patternType="solid">
        <fgColor indexed="49"/>
        <bgColor indexed="41"/>
      </patternFill>
    </fill>
    <fill>
      <patternFill patternType="solid">
        <fgColor indexed="19"/>
        <bgColor indexed="55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44"/>
      </patternFill>
    </fill>
    <fill>
      <patternFill patternType="solid">
        <fgColor indexed="31"/>
        <bgColor indexed="64"/>
      </patternFill>
    </fill>
    <fill>
      <patternFill patternType="solid">
        <fgColor rgb="FFB193ED"/>
        <bgColor indexed="64"/>
      </patternFill>
    </fill>
    <fill>
      <patternFill patternType="solid">
        <fgColor rgb="FF94683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42CD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9" tint="-0.249977111117893"/>
        <bgColor indexed="27"/>
      </patternFill>
    </fill>
    <fill>
      <patternFill patternType="solid">
        <fgColor theme="8" tint="-0.249977111117893"/>
        <bgColor indexed="4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05">
    <border>
      <left/>
      <right/>
      <top/>
      <bottom/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22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double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</borders>
  <cellStyleXfs count="15">
    <xf numFmtId="0" fontId="0" fillId="0" borderId="0"/>
    <xf numFmtId="0" fontId="8" fillId="0" borderId="0"/>
    <xf numFmtId="0" fontId="25" fillId="0" borderId="0"/>
    <xf numFmtId="0" fontId="4" fillId="0" borderId="0"/>
    <xf numFmtId="0" fontId="34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367">
    <xf numFmtId="0" fontId="0" fillId="0" borderId="0" xfId="0"/>
    <xf numFmtId="0" fontId="8" fillId="0" borderId="0" xfId="1" applyAlignment="1">
      <alignment horizontal="left"/>
    </xf>
    <xf numFmtId="0" fontId="10" fillId="0" borderId="0" xfId="1" applyFont="1"/>
    <xf numFmtId="0" fontId="11" fillId="0" borderId="0" xfId="1" applyFont="1" applyAlignment="1">
      <alignment horizontal="center" vertical="center" wrapText="1"/>
    </xf>
    <xf numFmtId="0" fontId="5" fillId="8" borderId="4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wrapText="1"/>
    </xf>
    <xf numFmtId="0" fontId="5" fillId="12" borderId="26" xfId="1" applyFont="1" applyFill="1" applyBorder="1" applyAlignment="1">
      <alignment horizontal="center" vertical="center" wrapText="1"/>
    </xf>
    <xf numFmtId="0" fontId="5" fillId="9" borderId="26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12" fillId="0" borderId="0" xfId="1" applyFont="1"/>
    <xf numFmtId="0" fontId="5" fillId="13" borderId="28" xfId="1" applyFont="1" applyFill="1" applyBorder="1" applyAlignment="1">
      <alignment vertical="center" wrapText="1"/>
    </xf>
    <xf numFmtId="3" fontId="5" fillId="0" borderId="29" xfId="1" applyNumberFormat="1" applyFont="1" applyBorder="1" applyAlignment="1">
      <alignment horizontal="center" vertical="center" wrapText="1"/>
    </xf>
    <xf numFmtId="3" fontId="6" fillId="0" borderId="30" xfId="1" applyNumberFormat="1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/>
    </xf>
    <xf numFmtId="0" fontId="5" fillId="0" borderId="29" xfId="1" applyFont="1" applyBorder="1" applyAlignment="1">
      <alignment horizontal="center" vertical="center" wrapText="1"/>
    </xf>
    <xf numFmtId="0" fontId="5" fillId="13" borderId="38" xfId="1" applyFont="1" applyFill="1" applyBorder="1" applyAlignment="1">
      <alignment vertical="center" wrapText="1"/>
    </xf>
    <xf numFmtId="0" fontId="5" fillId="13" borderId="28" xfId="1" applyFont="1" applyFill="1" applyBorder="1" applyAlignment="1">
      <alignment horizontal="left" vertical="center" wrapText="1"/>
    </xf>
    <xf numFmtId="3" fontId="5" fillId="0" borderId="39" xfId="1" applyNumberFormat="1" applyFont="1" applyBorder="1" applyAlignment="1">
      <alignment horizontal="center" vertical="center" wrapText="1"/>
    </xf>
    <xf numFmtId="3" fontId="6" fillId="0" borderId="40" xfId="1" applyNumberFormat="1" applyFont="1" applyFill="1" applyBorder="1" applyAlignment="1">
      <alignment horizontal="center" vertical="center" wrapText="1"/>
    </xf>
    <xf numFmtId="0" fontId="5" fillId="13" borderId="31" xfId="1" applyFont="1" applyFill="1" applyBorder="1" applyAlignment="1">
      <alignment vertical="center" wrapText="1"/>
    </xf>
    <xf numFmtId="3" fontId="5" fillId="0" borderId="36" xfId="1" applyNumberFormat="1" applyFont="1" applyBorder="1" applyAlignment="1">
      <alignment horizontal="center" vertical="center" wrapText="1"/>
    </xf>
    <xf numFmtId="3" fontId="6" fillId="0" borderId="37" xfId="1" applyNumberFormat="1" applyFont="1" applyFill="1" applyBorder="1" applyAlignment="1">
      <alignment horizontal="center" vertical="center" wrapText="1"/>
    </xf>
    <xf numFmtId="3" fontId="5" fillId="0" borderId="42" xfId="1" applyNumberFormat="1" applyFont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0" fontId="13" fillId="0" borderId="0" xfId="1" applyFont="1"/>
    <xf numFmtId="0" fontId="5" fillId="3" borderId="44" xfId="1" applyFont="1" applyFill="1" applyBorder="1" applyAlignment="1">
      <alignment vertical="center" wrapText="1"/>
    </xf>
    <xf numFmtId="3" fontId="5" fillId="3" borderId="42" xfId="1" applyNumberFormat="1" applyFont="1" applyFill="1" applyBorder="1" applyAlignment="1">
      <alignment horizontal="center" vertical="center" wrapText="1"/>
    </xf>
    <xf numFmtId="3" fontId="7" fillId="3" borderId="45" xfId="1" applyNumberFormat="1" applyFont="1" applyFill="1" applyBorder="1" applyAlignment="1">
      <alignment vertical="center" wrapText="1"/>
    </xf>
    <xf numFmtId="3" fontId="5" fillId="8" borderId="46" xfId="1" applyNumberFormat="1" applyFont="1" applyFill="1" applyBorder="1" applyAlignment="1">
      <alignment horizontal="center" vertical="center" wrapText="1"/>
    </xf>
    <xf numFmtId="3" fontId="5" fillId="6" borderId="46" xfId="1" applyNumberFormat="1" applyFont="1" applyFill="1" applyBorder="1" applyAlignment="1">
      <alignment horizontal="center" vertical="center" wrapText="1"/>
    </xf>
    <xf numFmtId="3" fontId="5" fillId="2" borderId="47" xfId="1" applyNumberFormat="1" applyFont="1" applyFill="1" applyBorder="1" applyAlignment="1">
      <alignment horizontal="center" vertical="center" wrapText="1"/>
    </xf>
    <xf numFmtId="0" fontId="8" fillId="0" borderId="0" xfId="1"/>
    <xf numFmtId="0" fontId="15" fillId="0" borderId="0" xfId="1" applyFont="1"/>
    <xf numFmtId="3" fontId="14" fillId="0" borderId="0" xfId="1" applyNumberFormat="1" applyFont="1" applyBorder="1" applyAlignment="1">
      <alignment vertical="center" wrapText="1"/>
    </xf>
    <xf numFmtId="0" fontId="16" fillId="0" borderId="0" xfId="1" applyFont="1" applyAlignment="1">
      <alignment horizontal="center" vertical="center"/>
    </xf>
    <xf numFmtId="0" fontId="19" fillId="0" borderId="0" xfId="1" applyFont="1"/>
    <xf numFmtId="0" fontId="17" fillId="0" borderId="0" xfId="1" applyFont="1" applyBorder="1" applyAlignment="1">
      <alignment horizontal="center" vertical="center"/>
    </xf>
    <xf numFmtId="0" fontId="21" fillId="0" borderId="0" xfId="1" applyFont="1"/>
    <xf numFmtId="0" fontId="23" fillId="8" borderId="52" xfId="1" applyFont="1" applyFill="1" applyBorder="1" applyAlignment="1">
      <alignment horizontal="center" vertical="center" wrapText="1"/>
    </xf>
    <xf numFmtId="0" fontId="23" fillId="6" borderId="53" xfId="1" applyFont="1" applyFill="1" applyBorder="1" applyAlignment="1">
      <alignment horizontal="center" vertical="center" wrapText="1"/>
    </xf>
    <xf numFmtId="0" fontId="23" fillId="3" borderId="53" xfId="1" applyFont="1" applyFill="1" applyBorder="1" applyAlignment="1">
      <alignment horizontal="center" vertical="center" wrapText="1"/>
    </xf>
    <xf numFmtId="0" fontId="23" fillId="14" borderId="53" xfId="1" applyFont="1" applyFill="1" applyBorder="1" applyAlignment="1">
      <alignment horizontal="center" vertical="center" wrapText="1"/>
    </xf>
    <xf numFmtId="0" fontId="23" fillId="9" borderId="53" xfId="1" applyFont="1" applyFill="1" applyBorder="1" applyAlignment="1">
      <alignment horizontal="center" vertical="center" wrapText="1"/>
    </xf>
    <xf numFmtId="0" fontId="1" fillId="15" borderId="54" xfId="1" applyFont="1" applyFill="1" applyBorder="1" applyAlignment="1">
      <alignment horizontal="center" vertical="center" wrapText="1"/>
    </xf>
    <xf numFmtId="0" fontId="24" fillId="16" borderId="55" xfId="1" applyFont="1" applyFill="1" applyBorder="1" applyAlignment="1">
      <alignment horizontal="center" vertical="center" wrapText="1"/>
    </xf>
    <xf numFmtId="0" fontId="17" fillId="13" borderId="56" xfId="1" applyFont="1" applyFill="1" applyBorder="1" applyAlignment="1">
      <alignment vertical="center" wrapText="1"/>
    </xf>
    <xf numFmtId="3" fontId="17" fillId="0" borderId="57" xfId="1" applyNumberFormat="1" applyFont="1" applyBorder="1" applyAlignment="1">
      <alignment horizontal="center" vertical="center" wrapText="1"/>
    </xf>
    <xf numFmtId="3" fontId="17" fillId="0" borderId="58" xfId="1" applyNumberFormat="1" applyFont="1" applyBorder="1" applyAlignment="1">
      <alignment horizontal="center" vertical="center" wrapText="1"/>
    </xf>
    <xf numFmtId="3" fontId="17" fillId="0" borderId="59" xfId="1" applyNumberFormat="1" applyFont="1" applyBorder="1" applyAlignment="1">
      <alignment horizontal="center" vertical="center" wrapText="1"/>
    </xf>
    <xf numFmtId="3" fontId="17" fillId="17" borderId="60" xfId="1" applyNumberFormat="1" applyFont="1" applyFill="1" applyBorder="1" applyAlignment="1">
      <alignment horizontal="center" vertical="center" wrapText="1"/>
    </xf>
    <xf numFmtId="3" fontId="17" fillId="0" borderId="61" xfId="1" applyNumberFormat="1" applyFont="1" applyBorder="1" applyAlignment="1">
      <alignment horizontal="center" vertical="center" wrapText="1"/>
    </xf>
    <xf numFmtId="3" fontId="17" fillId="17" borderId="62" xfId="1" applyNumberFormat="1" applyFont="1" applyFill="1" applyBorder="1" applyAlignment="1">
      <alignment horizontal="center" vertical="center" wrapText="1"/>
    </xf>
    <xf numFmtId="3" fontId="17" fillId="0" borderId="63" xfId="1" applyNumberFormat="1" applyFont="1" applyBorder="1" applyAlignment="1">
      <alignment horizontal="center" vertical="center" wrapText="1"/>
    </xf>
    <xf numFmtId="3" fontId="17" fillId="0" borderId="64" xfId="1" applyNumberFormat="1" applyFont="1" applyBorder="1" applyAlignment="1">
      <alignment horizontal="center" vertical="center" wrapText="1"/>
    </xf>
    <xf numFmtId="3" fontId="17" fillId="0" borderId="65" xfId="1" applyNumberFormat="1" applyFont="1" applyBorder="1" applyAlignment="1">
      <alignment horizontal="center" vertical="center" wrapText="1"/>
    </xf>
    <xf numFmtId="3" fontId="17" fillId="0" borderId="62" xfId="1" applyNumberFormat="1" applyFont="1" applyBorder="1" applyAlignment="1">
      <alignment horizontal="center" vertical="center" wrapText="1"/>
    </xf>
    <xf numFmtId="0" fontId="25" fillId="0" borderId="23" xfId="2" applyFont="1" applyFill="1" applyBorder="1" applyAlignment="1">
      <alignment horizontal="right" wrapText="1"/>
    </xf>
    <xf numFmtId="0" fontId="25" fillId="0" borderId="0" xfId="2"/>
    <xf numFmtId="0" fontId="0" fillId="0" borderId="23" xfId="2" applyFont="1" applyFill="1" applyBorder="1" applyAlignment="1">
      <alignment horizontal="right" wrapText="1"/>
    </xf>
    <xf numFmtId="0" fontId="8" fillId="0" borderId="0" xfId="1" applyFont="1"/>
    <xf numFmtId="3" fontId="17" fillId="0" borderId="66" xfId="1" applyNumberFormat="1" applyFont="1" applyBorder="1" applyAlignment="1">
      <alignment horizontal="center" vertical="center" wrapText="1"/>
    </xf>
    <xf numFmtId="3" fontId="17" fillId="0" borderId="67" xfId="1" applyNumberFormat="1" applyFont="1" applyBorder="1" applyAlignment="1">
      <alignment horizontal="center" vertical="center" wrapText="1"/>
    </xf>
    <xf numFmtId="3" fontId="17" fillId="0" borderId="68" xfId="1" applyNumberFormat="1" applyFont="1" applyBorder="1" applyAlignment="1">
      <alignment horizontal="center" vertical="center" wrapText="1"/>
    </xf>
    <xf numFmtId="3" fontId="17" fillId="0" borderId="69" xfId="1" applyNumberFormat="1" applyFont="1" applyBorder="1" applyAlignment="1">
      <alignment horizontal="center" vertical="center" wrapText="1"/>
    </xf>
    <xf numFmtId="3" fontId="17" fillId="17" borderId="70" xfId="1" applyNumberFormat="1" applyFont="1" applyFill="1" applyBorder="1" applyAlignment="1">
      <alignment horizontal="center" vertical="center" wrapText="1"/>
    </xf>
    <xf numFmtId="0" fontId="17" fillId="2" borderId="71" xfId="1" applyFont="1" applyFill="1" applyBorder="1" applyAlignment="1">
      <alignment vertical="center" wrapText="1"/>
    </xf>
    <xf numFmtId="3" fontId="17" fillId="4" borderId="72" xfId="1" applyNumberFormat="1" applyFont="1" applyFill="1" applyBorder="1" applyAlignment="1">
      <alignment horizontal="center" vertical="center" wrapText="1"/>
    </xf>
    <xf numFmtId="3" fontId="17" fillId="6" borderId="73" xfId="1" applyNumberFormat="1" applyFont="1" applyFill="1" applyBorder="1" applyAlignment="1">
      <alignment horizontal="center" vertical="center" wrapText="1"/>
    </xf>
    <xf numFmtId="3" fontId="17" fillId="3" borderId="73" xfId="1" applyNumberFormat="1" applyFont="1" applyFill="1" applyBorder="1" applyAlignment="1">
      <alignment horizontal="center" vertical="center" wrapText="1"/>
    </xf>
    <xf numFmtId="3" fontId="17" fillId="14" borderId="73" xfId="1" applyNumberFormat="1" applyFont="1" applyFill="1" applyBorder="1" applyAlignment="1">
      <alignment horizontal="center" vertical="center" wrapText="1"/>
    </xf>
    <xf numFmtId="3" fontId="17" fillId="9" borderId="74" xfId="1" applyNumberFormat="1" applyFont="1" applyFill="1" applyBorder="1" applyAlignment="1">
      <alignment horizontal="center" vertical="center" wrapText="1"/>
    </xf>
    <xf numFmtId="3" fontId="17" fillId="15" borderId="75" xfId="1" applyNumberFormat="1" applyFont="1" applyFill="1" applyBorder="1" applyAlignment="1">
      <alignment horizontal="center" vertical="center" wrapText="1"/>
    </xf>
    <xf numFmtId="3" fontId="17" fillId="4" borderId="76" xfId="1" applyNumberFormat="1" applyFont="1" applyFill="1" applyBorder="1" applyAlignment="1">
      <alignment horizontal="center" vertical="center" wrapText="1"/>
    </xf>
    <xf numFmtId="3" fontId="17" fillId="6" borderId="77" xfId="1" applyNumberFormat="1" applyFont="1" applyFill="1" applyBorder="1" applyAlignment="1">
      <alignment horizontal="center" vertical="center" wrapText="1"/>
    </xf>
    <xf numFmtId="3" fontId="17" fillId="3" borderId="77" xfId="1" applyNumberFormat="1" applyFont="1" applyFill="1" applyBorder="1" applyAlignment="1">
      <alignment horizontal="center" vertical="center" wrapText="1"/>
    </xf>
    <xf numFmtId="3" fontId="17" fillId="14" borderId="77" xfId="1" applyNumberFormat="1" applyFont="1" applyFill="1" applyBorder="1" applyAlignment="1">
      <alignment horizontal="center" vertical="center" wrapText="1"/>
    </xf>
    <xf numFmtId="3" fontId="17" fillId="9" borderId="77" xfId="1" applyNumberFormat="1" applyFont="1" applyFill="1" applyBorder="1" applyAlignment="1">
      <alignment horizontal="center" vertical="center" wrapText="1"/>
    </xf>
    <xf numFmtId="3" fontId="17" fillId="16" borderId="78" xfId="1" applyNumberFormat="1" applyFont="1" applyFill="1" applyBorder="1" applyAlignment="1">
      <alignment horizontal="center" vertical="center" wrapText="1"/>
    </xf>
    <xf numFmtId="0" fontId="8" fillId="0" borderId="0" xfId="1" applyBorder="1"/>
    <xf numFmtId="0" fontId="28" fillId="0" borderId="0" xfId="1" applyFont="1"/>
    <xf numFmtId="0" fontId="21" fillId="0" borderId="0" xfId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 wrapText="1"/>
    </xf>
    <xf numFmtId="0" fontId="29" fillId="0" borderId="0" xfId="1" applyFont="1"/>
    <xf numFmtId="0" fontId="30" fillId="0" borderId="0" xfId="1" applyFont="1"/>
    <xf numFmtId="0" fontId="17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" fillId="11" borderId="22" xfId="3" applyFont="1" applyFill="1" applyBorder="1" applyAlignment="1">
      <alignment horizontal="center"/>
    </xf>
    <xf numFmtId="0" fontId="3" fillId="0" borderId="23" xfId="3" applyFont="1" applyFill="1" applyBorder="1" applyAlignment="1">
      <alignment wrapText="1"/>
    </xf>
    <xf numFmtId="0" fontId="3" fillId="0" borderId="23" xfId="3" applyFont="1" applyFill="1" applyBorder="1" applyAlignment="1">
      <alignment horizontal="right" wrapText="1"/>
    </xf>
    <xf numFmtId="0" fontId="4" fillId="0" borderId="0" xfId="3"/>
    <xf numFmtId="3" fontId="33" fillId="0" borderId="0" xfId="1" applyNumberFormat="1" applyFont="1" applyBorder="1" applyAlignment="1">
      <alignment horizontal="center" vertical="center" wrapText="1"/>
    </xf>
    <xf numFmtId="0" fontId="34" fillId="0" borderId="0" xfId="4" applyNumberFormat="1" applyFont="1" applyFill="1" applyBorder="1" applyAlignment="1" applyProtection="1">
      <alignment horizontal="left"/>
    </xf>
    <xf numFmtId="0" fontId="8" fillId="0" borderId="79" xfId="1" applyBorder="1"/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26" fillId="0" borderId="23" xfId="5" applyFont="1" applyFill="1" applyBorder="1" applyAlignment="1">
      <alignment horizontal="right" wrapText="1"/>
    </xf>
    <xf numFmtId="0" fontId="26" fillId="11" borderId="22" xfId="6" applyFont="1" applyFill="1" applyBorder="1" applyAlignment="1">
      <alignment horizontal="center"/>
    </xf>
    <xf numFmtId="0" fontId="1" fillId="4" borderId="10" xfId="1" applyFont="1" applyFill="1" applyBorder="1" applyAlignment="1">
      <alignment horizontal="center" vertical="center"/>
    </xf>
    <xf numFmtId="3" fontId="2" fillId="5" borderId="11" xfId="1" applyNumberFormat="1" applyFont="1" applyFill="1" applyBorder="1" applyAlignment="1">
      <alignment horizontal="center" vertical="center"/>
    </xf>
    <xf numFmtId="3" fontId="2" fillId="5" borderId="12" xfId="1" applyNumberFormat="1" applyFont="1" applyFill="1" applyBorder="1" applyAlignment="1">
      <alignment horizontal="center" vertical="center"/>
    </xf>
    <xf numFmtId="164" fontId="2" fillId="5" borderId="13" xfId="1" applyNumberFormat="1" applyFont="1" applyFill="1" applyBorder="1" applyAlignment="1">
      <alignment horizontal="center" vertical="center"/>
    </xf>
    <xf numFmtId="164" fontId="2" fillId="5" borderId="14" xfId="1" applyNumberFormat="1" applyFont="1" applyFill="1" applyBorder="1" applyAlignment="1">
      <alignment horizontal="center" vertical="center"/>
    </xf>
    <xf numFmtId="164" fontId="8" fillId="0" borderId="0" xfId="1" applyNumberFormat="1" applyBorder="1"/>
    <xf numFmtId="3" fontId="8" fillId="0" borderId="0" xfId="1" applyNumberFormat="1"/>
    <xf numFmtId="164" fontId="8" fillId="0" borderId="0" xfId="1" applyNumberFormat="1"/>
    <xf numFmtId="0" fontId="26" fillId="0" borderId="23" xfId="6" applyFont="1" applyFill="1" applyBorder="1" applyAlignment="1">
      <alignment wrapText="1"/>
    </xf>
    <xf numFmtId="0" fontId="26" fillId="0" borderId="23" xfId="6" applyFont="1" applyFill="1" applyBorder="1" applyAlignment="1">
      <alignment horizontal="right" wrapText="1"/>
    </xf>
    <xf numFmtId="0" fontId="1" fillId="6" borderId="15" xfId="1" applyFont="1" applyFill="1" applyBorder="1" applyAlignment="1">
      <alignment horizontal="center" vertical="center"/>
    </xf>
    <xf numFmtId="3" fontId="2" fillId="5" borderId="16" xfId="1" applyNumberFormat="1" applyFont="1" applyFill="1" applyBorder="1" applyAlignment="1">
      <alignment horizontal="center" vertical="center"/>
    </xf>
    <xf numFmtId="0" fontId="26" fillId="0" borderId="0" xfId="5" applyFont="1" applyFill="1" applyBorder="1" applyAlignment="1">
      <alignment horizontal="right" wrapText="1"/>
    </xf>
    <xf numFmtId="0" fontId="25" fillId="0" borderId="0" xfId="5"/>
    <xf numFmtId="0" fontId="1" fillId="7" borderId="15" xfId="1" applyFont="1" applyFill="1" applyBorder="1" applyAlignment="1">
      <alignment horizontal="center" vertical="center"/>
    </xf>
    <xf numFmtId="0" fontId="1" fillId="3" borderId="15" xfId="1" applyFont="1" applyFill="1" applyBorder="1" applyAlignment="1">
      <alignment horizontal="center" vertical="center"/>
    </xf>
    <xf numFmtId="0" fontId="26" fillId="0" borderId="0" xfId="6" applyFont="1" applyFill="1" applyBorder="1" applyAlignment="1">
      <alignment horizontal="right" wrapText="1"/>
    </xf>
    <xf numFmtId="0" fontId="25" fillId="0" borderId="0" xfId="6"/>
    <xf numFmtId="0" fontId="1" fillId="8" borderId="15" xfId="1" applyFont="1" applyFill="1" applyBorder="1" applyAlignment="1">
      <alignment horizontal="center" vertical="center"/>
    </xf>
    <xf numFmtId="0" fontId="1" fillId="9" borderId="15" xfId="1" applyFont="1" applyFill="1" applyBorder="1" applyAlignment="1">
      <alignment horizontal="center" vertical="center"/>
    </xf>
    <xf numFmtId="0" fontId="1" fillId="10" borderId="15" xfId="1" applyFont="1" applyFill="1" applyBorder="1" applyAlignment="1">
      <alignment horizontal="center" vertical="center"/>
    </xf>
    <xf numFmtId="0" fontId="1" fillId="2" borderId="17" xfId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3" fontId="2" fillId="5" borderId="19" xfId="1" applyNumberFormat="1" applyFont="1" applyFill="1" applyBorder="1" applyAlignment="1">
      <alignment horizontal="center" vertical="center"/>
    </xf>
    <xf numFmtId="164" fontId="2" fillId="5" borderId="20" xfId="1" applyNumberFormat="1" applyFont="1" applyFill="1" applyBorder="1" applyAlignment="1">
      <alignment horizontal="center" vertical="center"/>
    </xf>
    <xf numFmtId="164" fontId="2" fillId="5" borderId="21" xfId="1" applyNumberFormat="1" applyFont="1" applyFill="1" applyBorder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26" fillId="0" borderId="23" xfId="7" applyFont="1" applyFill="1" applyBorder="1" applyAlignment="1">
      <alignment wrapText="1"/>
    </xf>
    <xf numFmtId="0" fontId="26" fillId="0" borderId="23" xfId="7" applyFont="1" applyFill="1" applyBorder="1" applyAlignment="1">
      <alignment horizontal="right" wrapText="1"/>
    </xf>
    <xf numFmtId="0" fontId="26" fillId="0" borderId="0" xfId="7" applyFont="1" applyFill="1" applyBorder="1" applyAlignment="1">
      <alignment horizontal="right" wrapText="1"/>
    </xf>
    <xf numFmtId="0" fontId="25" fillId="0" borderId="0" xfId="7"/>
    <xf numFmtId="0" fontId="35" fillId="0" borderId="0" xfId="1" applyFont="1" applyBorder="1" applyAlignment="1"/>
    <xf numFmtId="0" fontId="28" fillId="0" borderId="0" xfId="1" applyFont="1" applyAlignment="1">
      <alignment horizontal="center" vertical="center"/>
    </xf>
    <xf numFmtId="0" fontId="40" fillId="0" borderId="0" xfId="1" applyFont="1" applyAlignment="1">
      <alignment horizontal="center"/>
    </xf>
    <xf numFmtId="0" fontId="41" fillId="0" borderId="81" xfId="1" applyFont="1" applyBorder="1" applyAlignment="1">
      <alignment horizontal="center" vertical="center" wrapText="1"/>
    </xf>
    <xf numFmtId="0" fontId="42" fillId="18" borderId="82" xfId="1" applyFont="1" applyFill="1" applyBorder="1" applyAlignment="1">
      <alignment horizontal="center" vertical="center" wrapText="1"/>
    </xf>
    <xf numFmtId="0" fontId="42" fillId="19" borderId="82" xfId="1" applyFont="1" applyFill="1" applyBorder="1" applyAlignment="1">
      <alignment horizontal="center" vertical="center" wrapText="1"/>
    </xf>
    <xf numFmtId="0" fontId="42" fillId="20" borderId="82" xfId="1" applyFont="1" applyFill="1" applyBorder="1" applyAlignment="1">
      <alignment horizontal="center" vertical="center" wrapText="1"/>
    </xf>
    <xf numFmtId="0" fontId="42" fillId="21" borderId="82" xfId="1" applyFont="1" applyFill="1" applyBorder="1" applyAlignment="1">
      <alignment horizontal="center" vertical="center" wrapText="1"/>
    </xf>
    <xf numFmtId="0" fontId="1" fillId="22" borderId="82" xfId="1" applyFont="1" applyFill="1" applyBorder="1" applyAlignment="1">
      <alignment horizontal="center" vertical="center" wrapText="1"/>
    </xf>
    <xf numFmtId="0" fontId="1" fillId="23" borderId="82" xfId="1" applyFont="1" applyFill="1" applyBorder="1" applyAlignment="1">
      <alignment horizontal="center" vertical="center" wrapText="1"/>
    </xf>
    <xf numFmtId="0" fontId="1" fillId="24" borderId="82" xfId="1" applyFont="1" applyFill="1" applyBorder="1" applyAlignment="1">
      <alignment horizontal="center" vertical="center" wrapText="1"/>
    </xf>
    <xf numFmtId="0" fontId="1" fillId="25" borderId="82" xfId="1" applyFont="1" applyFill="1" applyBorder="1" applyAlignment="1">
      <alignment horizontal="center" vertical="center" wrapText="1"/>
    </xf>
    <xf numFmtId="0" fontId="1" fillId="26" borderId="82" xfId="1" applyFont="1" applyFill="1" applyBorder="1" applyAlignment="1">
      <alignment horizontal="center" vertical="center" wrapText="1"/>
    </xf>
    <xf numFmtId="0" fontId="1" fillId="27" borderId="82" xfId="1" applyFont="1" applyFill="1" applyBorder="1" applyAlignment="1">
      <alignment horizontal="center" vertical="center" wrapText="1"/>
    </xf>
    <xf numFmtId="0" fontId="1" fillId="28" borderId="82" xfId="1" applyFont="1" applyFill="1" applyBorder="1" applyAlignment="1">
      <alignment horizontal="center" vertical="center" wrapText="1"/>
    </xf>
    <xf numFmtId="0" fontId="2" fillId="0" borderId="83" xfId="1" applyFont="1" applyBorder="1" applyAlignment="1">
      <alignment horizontal="center" vertical="center" wrapText="1"/>
    </xf>
    <xf numFmtId="0" fontId="1" fillId="0" borderId="84" xfId="1" applyFont="1" applyBorder="1" applyAlignment="1">
      <alignment horizontal="center" vertical="center" wrapText="1"/>
    </xf>
    <xf numFmtId="0" fontId="43" fillId="0" borderId="84" xfId="1" applyFont="1" applyBorder="1" applyAlignment="1">
      <alignment horizontal="center" vertical="center" wrapText="1"/>
    </xf>
    <xf numFmtId="0" fontId="41" fillId="29" borderId="82" xfId="1" applyFont="1" applyFill="1" applyBorder="1" applyAlignment="1">
      <alignment horizontal="center" vertical="center" wrapText="1"/>
    </xf>
    <xf numFmtId="0" fontId="41" fillId="23" borderId="82" xfId="1" applyFont="1" applyFill="1" applyBorder="1" applyAlignment="1">
      <alignment horizontal="center" vertical="center" wrapText="1"/>
    </xf>
    <xf numFmtId="0" fontId="2" fillId="0" borderId="84" xfId="1" applyFont="1" applyBorder="1" applyAlignment="1">
      <alignment horizontal="right" vertical="center" wrapText="1"/>
    </xf>
    <xf numFmtId="0" fontId="40" fillId="0" borderId="0" xfId="1" applyFont="1" applyBorder="1" applyAlignment="1">
      <alignment horizontal="center" vertical="center" wrapText="1"/>
    </xf>
    <xf numFmtId="0" fontId="40" fillId="0" borderId="0" xfId="1" applyFont="1" applyBorder="1" applyAlignment="1">
      <alignment horizontal="center" vertical="center"/>
    </xf>
    <xf numFmtId="0" fontId="44" fillId="0" borderId="0" xfId="1" applyFont="1" applyBorder="1" applyAlignment="1">
      <alignment horizontal="center" vertical="center"/>
    </xf>
    <xf numFmtId="0" fontId="37" fillId="2" borderId="0" xfId="1" applyFont="1" applyFill="1" applyBorder="1" applyAlignment="1">
      <alignment horizontal="center" vertical="center" wrapText="1"/>
    </xf>
    <xf numFmtId="0" fontId="37" fillId="2" borderId="6" xfId="1" applyFont="1" applyFill="1" applyBorder="1" applyAlignment="1">
      <alignment horizontal="center" vertical="center" wrapText="1"/>
    </xf>
    <xf numFmtId="0" fontId="37" fillId="2" borderId="7" xfId="1" applyFont="1" applyFill="1" applyBorder="1" applyAlignment="1">
      <alignment horizontal="center" vertical="center" wrapText="1"/>
    </xf>
    <xf numFmtId="0" fontId="37" fillId="2" borderId="8" xfId="1" applyFont="1" applyFill="1" applyBorder="1" applyAlignment="1">
      <alignment horizontal="center" vertical="center" wrapText="1"/>
    </xf>
    <xf numFmtId="0" fontId="37" fillId="2" borderId="9" xfId="1" applyFont="1" applyFill="1" applyBorder="1" applyAlignment="1">
      <alignment horizontal="center" vertical="center" wrapText="1"/>
    </xf>
    <xf numFmtId="0" fontId="26" fillId="11" borderId="22" xfId="8" applyFont="1" applyFill="1" applyBorder="1" applyAlignment="1">
      <alignment horizontal="center"/>
    </xf>
    <xf numFmtId="0" fontId="26" fillId="0" borderId="23" xfId="9" applyFont="1" applyFill="1" applyBorder="1" applyAlignment="1">
      <alignment wrapText="1"/>
    </xf>
    <xf numFmtId="0" fontId="26" fillId="0" borderId="23" xfId="9" applyFont="1" applyFill="1" applyBorder="1" applyAlignment="1">
      <alignment horizontal="right" wrapText="1"/>
    </xf>
    <xf numFmtId="0" fontId="25" fillId="0" borderId="0" xfId="9"/>
    <xf numFmtId="0" fontId="26" fillId="11" borderId="22" xfId="10" applyFont="1" applyFill="1" applyBorder="1" applyAlignment="1">
      <alignment horizontal="center"/>
    </xf>
    <xf numFmtId="0" fontId="2" fillId="8" borderId="32" xfId="1" applyFont="1" applyFill="1" applyBorder="1" applyAlignment="1">
      <alignment horizontal="center" vertical="center"/>
    </xf>
    <xf numFmtId="164" fontId="2" fillId="5" borderId="0" xfId="1" applyNumberFormat="1" applyFont="1" applyFill="1" applyBorder="1" applyAlignment="1">
      <alignment horizontal="center" vertical="center"/>
    </xf>
    <xf numFmtId="0" fontId="26" fillId="0" borderId="23" xfId="8" applyFont="1" applyFill="1" applyBorder="1" applyAlignment="1">
      <alignment wrapText="1"/>
    </xf>
    <xf numFmtId="0" fontId="25" fillId="0" borderId="0" xfId="8"/>
    <xf numFmtId="0" fontId="26" fillId="0" borderId="23" xfId="10" applyFont="1" applyFill="1" applyBorder="1" applyAlignment="1">
      <alignment wrapText="1"/>
    </xf>
    <xf numFmtId="0" fontId="26" fillId="0" borderId="23" xfId="10" applyFont="1" applyFill="1" applyBorder="1" applyAlignment="1">
      <alignment horizontal="right" wrapText="1"/>
    </xf>
    <xf numFmtId="0" fontId="2" fillId="9" borderId="32" xfId="1" applyFont="1" applyFill="1" applyBorder="1" applyAlignment="1">
      <alignment horizontal="center" vertical="center"/>
    </xf>
    <xf numFmtId="0" fontId="45" fillId="0" borderId="0" xfId="8" applyFont="1"/>
    <xf numFmtId="0" fontId="25" fillId="0" borderId="0" xfId="10"/>
    <xf numFmtId="0" fontId="46" fillId="0" borderId="23" xfId="8" applyFont="1" applyFill="1" applyBorder="1" applyAlignment="1">
      <alignment wrapText="1"/>
    </xf>
    <xf numFmtId="0" fontId="25" fillId="0" borderId="0" xfId="9" applyFont="1"/>
    <xf numFmtId="0" fontId="2" fillId="9" borderId="35" xfId="1" applyFont="1" applyFill="1" applyBorder="1" applyAlignment="1">
      <alignment horizontal="center" vertical="center"/>
    </xf>
    <xf numFmtId="0" fontId="2" fillId="9" borderId="35" xfId="1" applyFont="1" applyFill="1" applyBorder="1" applyAlignment="1">
      <alignment horizontal="center" vertical="center" wrapText="1"/>
    </xf>
    <xf numFmtId="0" fontId="2" fillId="8" borderId="32" xfId="1" applyFont="1" applyFill="1" applyBorder="1" applyAlignment="1">
      <alignment horizontal="center" vertical="center" wrapText="1"/>
    </xf>
    <xf numFmtId="0" fontId="2" fillId="30" borderId="17" xfId="1" applyFont="1" applyFill="1" applyBorder="1" applyAlignment="1">
      <alignment horizontal="center" vertical="center"/>
    </xf>
    <xf numFmtId="164" fontId="2" fillId="5" borderId="18" xfId="1" applyNumberFormat="1" applyFont="1" applyFill="1" applyBorder="1" applyAlignment="1">
      <alignment horizontal="center" vertical="center"/>
    </xf>
    <xf numFmtId="0" fontId="8" fillId="0" borderId="48" xfId="1" applyBorder="1"/>
    <xf numFmtId="3" fontId="45" fillId="0" borderId="0" xfId="1" applyNumberFormat="1" applyFont="1"/>
    <xf numFmtId="0" fontId="48" fillId="0" borderId="0" xfId="1" applyFont="1"/>
    <xf numFmtId="0" fontId="47" fillId="0" borderId="0" xfId="1" applyFont="1"/>
    <xf numFmtId="0" fontId="28" fillId="0" borderId="0" xfId="1" applyFont="1" applyBorder="1" applyAlignment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49" fillId="0" borderId="0" xfId="1" applyFont="1"/>
    <xf numFmtId="0" fontId="26" fillId="11" borderId="22" xfId="11" applyFont="1" applyFill="1" applyBorder="1" applyAlignment="1">
      <alignment horizontal="center"/>
    </xf>
    <xf numFmtId="0" fontId="26" fillId="11" borderId="22" xfId="12" applyFont="1" applyFill="1" applyBorder="1" applyAlignment="1">
      <alignment horizontal="center"/>
    </xf>
    <xf numFmtId="0" fontId="50" fillId="2" borderId="6" xfId="1" applyFont="1" applyFill="1" applyBorder="1" applyAlignment="1">
      <alignment horizontal="center" vertical="center" wrapText="1"/>
    </xf>
    <xf numFmtId="0" fontId="50" fillId="2" borderId="7" xfId="1" applyFont="1" applyFill="1" applyBorder="1" applyAlignment="1">
      <alignment horizontal="center" vertical="center" wrapText="1"/>
    </xf>
    <xf numFmtId="0" fontId="50" fillId="2" borderId="8" xfId="1" applyFont="1" applyFill="1" applyBorder="1" applyAlignment="1">
      <alignment horizontal="center" vertical="center" wrapText="1"/>
    </xf>
    <xf numFmtId="0" fontId="50" fillId="2" borderId="9" xfId="1" applyFont="1" applyFill="1" applyBorder="1" applyAlignment="1">
      <alignment horizontal="center" vertical="center" wrapText="1"/>
    </xf>
    <xf numFmtId="0" fontId="26" fillId="0" borderId="23" xfId="11" applyFont="1" applyFill="1" applyBorder="1" applyAlignment="1">
      <alignment horizontal="right" wrapText="1"/>
    </xf>
    <xf numFmtId="0" fontId="26" fillId="0" borderId="23" xfId="12" applyFont="1" applyFill="1" applyBorder="1" applyAlignment="1">
      <alignment horizontal="right" wrapText="1"/>
    </xf>
    <xf numFmtId="0" fontId="2" fillId="4" borderId="10" xfId="1" applyFont="1" applyFill="1" applyBorder="1" applyAlignment="1">
      <alignment horizontal="center" vertical="center"/>
    </xf>
    <xf numFmtId="164" fontId="33" fillId="0" borderId="0" xfId="1" applyNumberFormat="1" applyFont="1" applyBorder="1"/>
    <xf numFmtId="3" fontId="33" fillId="0" borderId="0" xfId="1" applyNumberFormat="1" applyFont="1"/>
    <xf numFmtId="164" fontId="33" fillId="0" borderId="0" xfId="1" applyNumberFormat="1" applyFont="1"/>
    <xf numFmtId="0" fontId="51" fillId="0" borderId="23" xfId="5" applyFont="1" applyFill="1" applyBorder="1" applyAlignment="1">
      <alignment horizontal="right" wrapText="1"/>
    </xf>
    <xf numFmtId="0" fontId="33" fillId="0" borderId="0" xfId="1" applyFont="1"/>
    <xf numFmtId="0" fontId="51" fillId="0" borderId="23" xfId="12" applyFont="1" applyFill="1" applyBorder="1" applyAlignment="1">
      <alignment horizontal="right" wrapText="1"/>
    </xf>
    <xf numFmtId="0" fontId="2" fillId="6" borderId="15" xfId="1" applyFont="1" applyFill="1" applyBorder="1" applyAlignment="1">
      <alignment horizontal="center" vertical="center"/>
    </xf>
    <xf numFmtId="0" fontId="52" fillId="0" borderId="0" xfId="5" applyFont="1"/>
    <xf numFmtId="0" fontId="2" fillId="7" borderId="15" xfId="1" applyFont="1" applyFill="1" applyBorder="1" applyAlignment="1">
      <alignment horizontal="center" vertical="center"/>
    </xf>
    <xf numFmtId="0" fontId="51" fillId="0" borderId="23" xfId="5" applyFont="1" applyFill="1" applyBorder="1" applyAlignment="1">
      <alignment wrapText="1"/>
    </xf>
    <xf numFmtId="0" fontId="26" fillId="0" borderId="0" xfId="11" applyFont="1" applyFill="1" applyBorder="1" applyAlignment="1">
      <alignment horizontal="right" wrapText="1"/>
    </xf>
    <xf numFmtId="0" fontId="25" fillId="0" borderId="0" xfId="11"/>
    <xf numFmtId="0" fontId="26" fillId="0" borderId="0" xfId="12" applyFont="1" applyFill="1" applyBorder="1" applyAlignment="1">
      <alignment horizontal="right" wrapText="1"/>
    </xf>
    <xf numFmtId="0" fontId="52" fillId="0" borderId="0" xfId="12" applyFont="1"/>
    <xf numFmtId="0" fontId="2" fillId="3" borderId="15" xfId="1" applyFont="1" applyFill="1" applyBorder="1" applyAlignment="1">
      <alignment horizontal="center" vertical="center"/>
    </xf>
    <xf numFmtId="0" fontId="2" fillId="8" borderId="15" xfId="1" applyFont="1" applyFill="1" applyBorder="1" applyAlignment="1">
      <alignment horizontal="center" vertical="center"/>
    </xf>
    <xf numFmtId="0" fontId="51" fillId="0" borderId="0" xfId="12" applyFont="1" applyFill="1" applyBorder="1" applyAlignment="1">
      <alignment horizontal="right" wrapText="1"/>
    </xf>
    <xf numFmtId="0" fontId="2" fillId="10" borderId="15" xfId="1" applyFont="1" applyFill="1" applyBorder="1" applyAlignment="1">
      <alignment horizontal="center" vertical="center"/>
    </xf>
    <xf numFmtId="0" fontId="25" fillId="0" borderId="0" xfId="12"/>
    <xf numFmtId="0" fontId="1" fillId="0" borderId="0" xfId="1" applyFont="1" applyAlignment="1">
      <alignment horizontal="center" vertical="center"/>
    </xf>
    <xf numFmtId="0" fontId="35" fillId="0" borderId="0" xfId="1" applyFont="1" applyBorder="1" applyAlignment="1">
      <alignment horizontal="center"/>
    </xf>
    <xf numFmtId="0" fontId="38" fillId="0" borderId="0" xfId="1" applyFont="1" applyBorder="1" applyAlignment="1">
      <alignment horizontal="center"/>
    </xf>
    <xf numFmtId="0" fontId="12" fillId="0" borderId="0" xfId="1" applyFont="1" applyAlignment="1">
      <alignment horizontal="center" vertical="center"/>
    </xf>
    <xf numFmtId="0" fontId="54" fillId="3" borderId="60" xfId="1" applyFont="1" applyFill="1" applyBorder="1" applyAlignment="1">
      <alignment horizontal="center" vertical="center" wrapText="1"/>
    </xf>
    <xf numFmtId="1" fontId="54" fillId="3" borderId="90" xfId="1" applyNumberFormat="1" applyFont="1" applyFill="1" applyBorder="1" applyAlignment="1">
      <alignment horizontal="center" vertical="center" wrapText="1"/>
    </xf>
    <xf numFmtId="0" fontId="54" fillId="3" borderId="91" xfId="1" applyFont="1" applyFill="1" applyBorder="1" applyAlignment="1">
      <alignment horizontal="center" vertical="center" wrapText="1"/>
    </xf>
    <xf numFmtId="0" fontId="55" fillId="3" borderId="92" xfId="1" applyFont="1" applyFill="1" applyBorder="1" applyAlignment="1">
      <alignment horizontal="center" vertical="center" wrapText="1"/>
    </xf>
    <xf numFmtId="0" fontId="2" fillId="8" borderId="93" xfId="1" applyFont="1" applyFill="1" applyBorder="1" applyAlignment="1">
      <alignment horizontal="center" vertical="center"/>
    </xf>
    <xf numFmtId="3" fontId="2" fillId="0" borderId="22" xfId="1" applyNumberFormat="1" applyFont="1" applyBorder="1" applyAlignment="1">
      <alignment horizontal="center" vertical="center"/>
    </xf>
    <xf numFmtId="3" fontId="2" fillId="0" borderId="14" xfId="1" applyNumberFormat="1" applyFont="1" applyBorder="1" applyAlignment="1">
      <alignment horizontal="center" vertical="center"/>
    </xf>
    <xf numFmtId="3" fontId="2" fillId="0" borderId="63" xfId="1" applyNumberFormat="1" applyFont="1" applyBorder="1" applyAlignment="1">
      <alignment horizontal="center" vertical="center"/>
    </xf>
    <xf numFmtId="164" fontId="37" fillId="0" borderId="14" xfId="1" applyNumberFormat="1" applyFont="1" applyBorder="1" applyAlignment="1">
      <alignment horizontal="center" vertical="center"/>
    </xf>
    <xf numFmtId="0" fontId="2" fillId="6" borderId="94" xfId="1" applyFont="1" applyFill="1" applyBorder="1" applyAlignment="1">
      <alignment horizontal="center" vertical="center"/>
    </xf>
    <xf numFmtId="164" fontId="37" fillId="0" borderId="95" xfId="1" applyNumberFormat="1" applyFont="1" applyBorder="1" applyAlignment="1">
      <alignment horizontal="center" vertical="center"/>
    </xf>
    <xf numFmtId="0" fontId="2" fillId="3" borderId="96" xfId="1" applyFont="1" applyFill="1" applyBorder="1" applyAlignment="1">
      <alignment horizontal="center" vertical="center"/>
    </xf>
    <xf numFmtId="164" fontId="37" fillId="0" borderId="97" xfId="1" applyNumberFormat="1" applyFont="1" applyBorder="1" applyAlignment="1">
      <alignment horizontal="center" vertical="center"/>
    </xf>
    <xf numFmtId="0" fontId="2" fillId="31" borderId="98" xfId="1" applyFont="1" applyFill="1" applyBorder="1" applyAlignment="1">
      <alignment horizontal="center" vertical="center"/>
    </xf>
    <xf numFmtId="164" fontId="37" fillId="0" borderId="0" xfId="1" applyNumberFormat="1" applyFont="1" applyFill="1" applyBorder="1" applyAlignment="1">
      <alignment horizontal="center" vertical="center"/>
    </xf>
    <xf numFmtId="0" fontId="2" fillId="32" borderId="98" xfId="1" applyFont="1" applyFill="1" applyBorder="1" applyAlignment="1">
      <alignment horizontal="center" vertical="center"/>
    </xf>
    <xf numFmtId="0" fontId="2" fillId="33" borderId="99" xfId="1" applyFont="1" applyFill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34" borderId="99" xfId="1" applyFont="1" applyFill="1" applyBorder="1" applyAlignment="1">
      <alignment horizontal="center" vertical="center"/>
    </xf>
    <xf numFmtId="0" fontId="2" fillId="0" borderId="100" xfId="1" applyFont="1" applyBorder="1" applyAlignment="1">
      <alignment horizontal="center" vertical="center"/>
    </xf>
    <xf numFmtId="0" fontId="2" fillId="0" borderId="95" xfId="1" applyFont="1" applyBorder="1" applyAlignment="1">
      <alignment horizontal="center" vertical="center"/>
    </xf>
    <xf numFmtId="3" fontId="2" fillId="0" borderId="101" xfId="1" applyNumberFormat="1" applyFont="1" applyBorder="1" applyAlignment="1">
      <alignment horizontal="center" vertical="center"/>
    </xf>
    <xf numFmtId="3" fontId="2" fillId="0" borderId="95" xfId="1" applyNumberFormat="1" applyFont="1" applyBorder="1" applyAlignment="1">
      <alignment horizontal="center" vertical="center"/>
    </xf>
    <xf numFmtId="0" fontId="2" fillId="35" borderId="99" xfId="1" applyFont="1" applyFill="1" applyBorder="1" applyAlignment="1">
      <alignment horizontal="center" vertical="center"/>
    </xf>
    <xf numFmtId="3" fontId="2" fillId="36" borderId="99" xfId="1" applyNumberFormat="1" applyFont="1" applyFill="1" applyBorder="1" applyAlignment="1">
      <alignment horizontal="center" vertical="center"/>
    </xf>
    <xf numFmtId="0" fontId="2" fillId="36" borderId="99" xfId="1" applyFont="1" applyFill="1" applyBorder="1" applyAlignment="1">
      <alignment horizontal="center" vertical="center"/>
    </xf>
    <xf numFmtId="165" fontId="8" fillId="0" borderId="0" xfId="1" applyNumberFormat="1"/>
    <xf numFmtId="0" fontId="38" fillId="0" borderId="0" xfId="1" applyFont="1" applyAlignment="1"/>
    <xf numFmtId="0" fontId="56" fillId="0" borderId="0" xfId="1" applyFont="1"/>
    <xf numFmtId="0" fontId="26" fillId="11" borderId="22" xfId="13" applyFont="1" applyFill="1" applyBorder="1" applyAlignment="1">
      <alignment horizontal="center"/>
    </xf>
    <xf numFmtId="0" fontId="26" fillId="0" borderId="23" xfId="13" applyFont="1" applyFill="1" applyBorder="1" applyAlignment="1">
      <alignment wrapText="1"/>
    </xf>
    <xf numFmtId="0" fontId="26" fillId="0" borderId="23" xfId="13" applyFont="1" applyFill="1" applyBorder="1" applyAlignment="1">
      <alignment horizontal="right" wrapText="1"/>
    </xf>
    <xf numFmtId="0" fontId="25" fillId="0" borderId="0" xfId="13"/>
    <xf numFmtId="0" fontId="26" fillId="0" borderId="0" xfId="13" applyFont="1" applyFill="1" applyBorder="1" applyAlignment="1">
      <alignment horizontal="right" wrapText="1"/>
    </xf>
    <xf numFmtId="0" fontId="58" fillId="0" borderId="81" xfId="0" applyFont="1" applyBorder="1" applyAlignment="1">
      <alignment horizontal="center" vertical="center" wrapText="1"/>
    </xf>
    <xf numFmtId="0" fontId="59" fillId="0" borderId="82" xfId="0" applyFont="1" applyBorder="1" applyAlignment="1">
      <alignment horizontal="center" vertical="center" wrapText="1"/>
    </xf>
    <xf numFmtId="0" fontId="60" fillId="0" borderId="82" xfId="0" applyFont="1" applyBorder="1" applyAlignment="1">
      <alignment horizontal="center" vertical="center" wrapText="1"/>
    </xf>
    <xf numFmtId="0" fontId="61" fillId="0" borderId="102" xfId="0" applyFont="1" applyBorder="1" applyAlignment="1">
      <alignment horizontal="center" vertical="center" wrapText="1"/>
    </xf>
    <xf numFmtId="0" fontId="57" fillId="0" borderId="83" xfId="0" applyFont="1" applyBorder="1" applyAlignment="1">
      <alignment horizontal="center" vertical="center" wrapText="1"/>
    </xf>
    <xf numFmtId="0" fontId="62" fillId="0" borderId="84" xfId="0" applyFont="1" applyBorder="1" applyAlignment="1">
      <alignment horizontal="center" vertical="center" wrapText="1"/>
    </xf>
    <xf numFmtId="0" fontId="57" fillId="0" borderId="80" xfId="0" applyFont="1" applyBorder="1" applyAlignment="1">
      <alignment horizontal="center" vertical="center" wrapText="1"/>
    </xf>
    <xf numFmtId="0" fontId="57" fillId="0" borderId="84" xfId="0" applyFont="1" applyBorder="1" applyAlignment="1">
      <alignment horizontal="center" vertical="center" wrapText="1"/>
    </xf>
    <xf numFmtId="0" fontId="62" fillId="0" borderId="102" xfId="0" applyFont="1" applyBorder="1" applyAlignment="1">
      <alignment horizontal="center" vertical="center" wrapText="1"/>
    </xf>
    <xf numFmtId="0" fontId="62" fillId="0" borderId="80" xfId="0" applyFont="1" applyBorder="1" applyAlignment="1">
      <alignment horizontal="center" vertical="center" wrapText="1"/>
    </xf>
    <xf numFmtId="0" fontId="62" fillId="0" borderId="83" xfId="0" applyFont="1" applyBorder="1" applyAlignment="1">
      <alignment horizontal="center" vertical="center" wrapText="1"/>
    </xf>
    <xf numFmtId="0" fontId="58" fillId="0" borderId="82" xfId="0" applyFont="1" applyBorder="1" applyAlignment="1">
      <alignment horizontal="center" vertical="center" wrapText="1"/>
    </xf>
    <xf numFmtId="0" fontId="62" fillId="0" borderId="84" xfId="0" applyFont="1" applyBorder="1" applyAlignment="1">
      <alignment horizontal="right" vertical="center" wrapText="1"/>
    </xf>
    <xf numFmtId="0" fontId="26" fillId="11" borderId="22" xfId="14" applyFont="1" applyFill="1" applyBorder="1" applyAlignment="1">
      <alignment horizontal="center"/>
    </xf>
    <xf numFmtId="0" fontId="26" fillId="0" borderId="23" xfId="14" applyFont="1" applyFill="1" applyBorder="1" applyAlignment="1">
      <alignment wrapText="1"/>
    </xf>
    <xf numFmtId="0" fontId="26" fillId="0" borderId="23" xfId="14" applyFont="1" applyFill="1" applyBorder="1" applyAlignment="1">
      <alignment horizontal="right" wrapText="1"/>
    </xf>
    <xf numFmtId="0" fontId="25" fillId="0" borderId="0" xfId="14"/>
    <xf numFmtId="3" fontId="63" fillId="0" borderId="29" xfId="1" applyNumberFormat="1" applyFont="1" applyBorder="1" applyAlignment="1">
      <alignment horizontal="center" vertical="center" wrapText="1"/>
    </xf>
    <xf numFmtId="3" fontId="63" fillId="0" borderId="29" xfId="1" applyNumberFormat="1" applyFont="1" applyBorder="1" applyAlignment="1">
      <alignment horizontal="center" vertical="top" wrapText="1"/>
    </xf>
    <xf numFmtId="0" fontId="62" fillId="0" borderId="0" xfId="1" applyFont="1"/>
    <xf numFmtId="0" fontId="26" fillId="11" borderId="22" xfId="14" applyFont="1" applyFill="1" applyBorder="1" applyAlignment="1">
      <alignment horizontal="center" wrapText="1"/>
    </xf>
    <xf numFmtId="3" fontId="2" fillId="37" borderId="11" xfId="1" applyNumberFormat="1" applyFont="1" applyFill="1" applyBorder="1" applyAlignment="1">
      <alignment horizontal="center" vertical="center"/>
    </xf>
    <xf numFmtId="3" fontId="2" fillId="37" borderId="12" xfId="1" applyNumberFormat="1" applyFont="1" applyFill="1" applyBorder="1" applyAlignment="1">
      <alignment horizontal="center" vertical="center"/>
    </xf>
    <xf numFmtId="164" fontId="2" fillId="37" borderId="86" xfId="1" applyNumberFormat="1" applyFont="1" applyFill="1" applyBorder="1" applyAlignment="1">
      <alignment horizontal="center" vertical="center"/>
    </xf>
    <xf numFmtId="164" fontId="2" fillId="37" borderId="14" xfId="1" applyNumberFormat="1" applyFont="1" applyFill="1" applyBorder="1" applyAlignment="1">
      <alignment horizontal="center" vertical="center"/>
    </xf>
    <xf numFmtId="3" fontId="2" fillId="37" borderId="87" xfId="1" applyNumberFormat="1" applyFont="1" applyFill="1" applyBorder="1" applyAlignment="1">
      <alignment horizontal="center" vertical="center"/>
    </xf>
    <xf numFmtId="3" fontId="2" fillId="37" borderId="16" xfId="1" applyNumberFormat="1" applyFont="1" applyFill="1" applyBorder="1" applyAlignment="1">
      <alignment horizontal="center" vertical="center"/>
    </xf>
    <xf numFmtId="3" fontId="2" fillId="37" borderId="88" xfId="1" applyNumberFormat="1" applyFont="1" applyFill="1" applyBorder="1" applyAlignment="1">
      <alignment horizontal="center" vertical="center"/>
    </xf>
    <xf numFmtId="3" fontId="2" fillId="37" borderId="89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 wrapText="1"/>
    </xf>
    <xf numFmtId="0" fontId="5" fillId="2" borderId="103" xfId="1" applyFont="1" applyFill="1" applyBorder="1" applyAlignment="1">
      <alignment horizontal="center" vertical="center" wrapText="1"/>
    </xf>
    <xf numFmtId="0" fontId="5" fillId="2" borderId="104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3" fontId="5" fillId="0" borderId="29" xfId="1" applyNumberFormat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0" fontId="5" fillId="13" borderId="28" xfId="1" applyFont="1" applyFill="1" applyBorder="1" applyAlignment="1">
      <alignment horizontal="center" vertical="center" wrapText="1"/>
    </xf>
    <xf numFmtId="0" fontId="5" fillId="13" borderId="31" xfId="1" applyFont="1" applyFill="1" applyBorder="1" applyAlignment="1">
      <alignment horizontal="center" vertical="center" wrapText="1"/>
    </xf>
    <xf numFmtId="3" fontId="6" fillId="0" borderId="30" xfId="1" applyNumberFormat="1" applyFont="1" applyFill="1" applyBorder="1" applyAlignment="1">
      <alignment horizontal="center" vertical="center" wrapText="1"/>
    </xf>
    <xf numFmtId="3" fontId="6" fillId="0" borderId="27" xfId="1" applyNumberFormat="1" applyFont="1" applyFill="1" applyBorder="1" applyAlignment="1">
      <alignment horizontal="center" vertical="center" wrapText="1"/>
    </xf>
    <xf numFmtId="0" fontId="5" fillId="13" borderId="28" xfId="1" applyFont="1" applyFill="1" applyBorder="1" applyAlignment="1">
      <alignment horizontal="left" vertical="center" wrapText="1"/>
    </xf>
    <xf numFmtId="0" fontId="5" fillId="13" borderId="31" xfId="1" applyFont="1" applyFill="1" applyBorder="1" applyAlignment="1">
      <alignment horizontal="left" vertical="center" wrapText="1"/>
    </xf>
    <xf numFmtId="3" fontId="5" fillId="0" borderId="36" xfId="1" applyNumberFormat="1" applyFont="1" applyBorder="1" applyAlignment="1">
      <alignment horizontal="center" vertical="center" wrapText="1"/>
    </xf>
    <xf numFmtId="3" fontId="6" fillId="0" borderId="37" xfId="1" applyNumberFormat="1" applyFont="1" applyFill="1" applyBorder="1" applyAlignment="1">
      <alignment horizontal="center" vertical="center" wrapText="1"/>
    </xf>
    <xf numFmtId="0" fontId="5" fillId="13" borderId="32" xfId="1" applyFont="1" applyFill="1" applyBorder="1" applyAlignment="1">
      <alignment horizontal="left" vertical="center" wrapText="1"/>
    </xf>
    <xf numFmtId="3" fontId="5" fillId="0" borderId="33" xfId="1" applyNumberFormat="1" applyFont="1" applyBorder="1" applyAlignment="1">
      <alignment horizontal="center" vertical="center" wrapText="1"/>
    </xf>
    <xf numFmtId="3" fontId="6" fillId="0" borderId="34" xfId="1" applyNumberFormat="1" applyFont="1" applyFill="1" applyBorder="1" applyAlignment="1">
      <alignment horizontal="center" vertical="center" wrapText="1"/>
    </xf>
    <xf numFmtId="0" fontId="5" fillId="13" borderId="35" xfId="1" applyFont="1" applyFill="1" applyBorder="1" applyAlignment="1">
      <alignment horizontal="left" vertical="center" wrapText="1"/>
    </xf>
    <xf numFmtId="3" fontId="5" fillId="0" borderId="39" xfId="1" applyNumberFormat="1" applyFont="1" applyBorder="1" applyAlignment="1">
      <alignment horizontal="center" vertical="center" wrapText="1"/>
    </xf>
    <xf numFmtId="3" fontId="6" fillId="0" borderId="40" xfId="1" applyNumberFormat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/>
    </xf>
    <xf numFmtId="0" fontId="5" fillId="13" borderId="41" xfId="1" applyFont="1" applyFill="1" applyBorder="1" applyAlignment="1">
      <alignment horizontal="center" vertical="center" wrapText="1"/>
    </xf>
    <xf numFmtId="3" fontId="14" fillId="0" borderId="48" xfId="1" applyNumberFormat="1" applyFont="1" applyBorder="1" applyAlignment="1">
      <alignment vertical="center" wrapText="1"/>
    </xf>
    <xf numFmtId="0" fontId="17" fillId="0" borderId="0" xfId="1" applyFont="1" applyBorder="1" applyAlignment="1">
      <alignment horizontal="center" vertical="center" wrapText="1"/>
    </xf>
    <xf numFmtId="0" fontId="39" fillId="0" borderId="0" xfId="1" applyFont="1" applyAlignment="1">
      <alignment horizontal="center"/>
    </xf>
    <xf numFmtId="0" fontId="39" fillId="0" borderId="0" xfId="1" applyFont="1" applyAlignment="1">
      <alignment horizontal="center" wrapText="1"/>
    </xf>
    <xf numFmtId="0" fontId="40" fillId="0" borderId="80" xfId="1" applyFont="1" applyBorder="1" applyAlignment="1">
      <alignment horizontal="center"/>
    </xf>
    <xf numFmtId="0" fontId="5" fillId="0" borderId="0" xfId="1" applyFont="1" applyAlignment="1">
      <alignment horizontal="center" wrapText="1"/>
    </xf>
    <xf numFmtId="0" fontId="40" fillId="0" borderId="0" xfId="1" applyFont="1" applyAlignment="1">
      <alignment horizontal="center"/>
    </xf>
    <xf numFmtId="0" fontId="38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35" fillId="0" borderId="0" xfId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36" fillId="0" borderId="48" xfId="1" applyFont="1" applyBorder="1" applyAlignment="1">
      <alignment horizontal="left" wrapText="1"/>
    </xf>
    <xf numFmtId="0" fontId="64" fillId="0" borderId="0" xfId="1" applyFont="1" applyAlignment="1">
      <alignment horizontal="left" wrapText="1"/>
    </xf>
    <xf numFmtId="0" fontId="35" fillId="0" borderId="0" xfId="1" applyFont="1" applyBorder="1" applyAlignment="1">
      <alignment horizontal="center"/>
    </xf>
    <xf numFmtId="0" fontId="37" fillId="0" borderId="0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7" fillId="0" borderId="48" xfId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 wrapText="1"/>
    </xf>
    <xf numFmtId="0" fontId="31" fillId="0" borderId="0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20" fillId="0" borderId="49" xfId="1" applyFont="1" applyBorder="1" applyAlignment="1">
      <alignment horizontal="center" vertical="center"/>
    </xf>
    <xf numFmtId="0" fontId="17" fillId="2" borderId="24" xfId="1" applyFont="1" applyFill="1" applyBorder="1" applyAlignment="1">
      <alignment horizontal="center" vertical="center" wrapText="1"/>
    </xf>
    <xf numFmtId="0" fontId="22" fillId="2" borderId="50" xfId="1" applyFont="1" applyFill="1" applyBorder="1" applyAlignment="1">
      <alignment horizontal="center" vertical="center" wrapText="1"/>
    </xf>
    <xf numFmtId="0" fontId="17" fillId="2" borderId="51" xfId="1" applyFont="1" applyFill="1" applyBorder="1" applyAlignment="1">
      <alignment horizontal="center" vertical="center" wrapText="1"/>
    </xf>
    <xf numFmtId="0" fontId="40" fillId="0" borderId="0" xfId="1" applyFont="1" applyBorder="1" applyAlignment="1">
      <alignment horizontal="center" vertical="center" wrapText="1"/>
    </xf>
    <xf numFmtId="0" fontId="40" fillId="0" borderId="0" xfId="1" applyFont="1" applyBorder="1" applyAlignment="1">
      <alignment horizontal="center" vertical="center"/>
    </xf>
    <xf numFmtId="0" fontId="44" fillId="0" borderId="0" xfId="1" applyFont="1" applyBorder="1" applyAlignment="1">
      <alignment horizontal="center" vertical="center"/>
    </xf>
    <xf numFmtId="0" fontId="37" fillId="2" borderId="24" xfId="1" applyFont="1" applyFill="1" applyBorder="1" applyAlignment="1">
      <alignment horizontal="center" vertical="center" wrapText="1"/>
    </xf>
    <xf numFmtId="0" fontId="37" fillId="2" borderId="31" xfId="1" applyFont="1" applyFill="1" applyBorder="1" applyAlignment="1">
      <alignment horizontal="center" vertical="center" wrapText="1"/>
    </xf>
    <xf numFmtId="0" fontId="37" fillId="3" borderId="85" xfId="1" applyFont="1" applyFill="1" applyBorder="1" applyAlignment="1">
      <alignment horizontal="center" vertical="center"/>
    </xf>
    <xf numFmtId="0" fontId="37" fillId="2" borderId="25" xfId="1" applyFont="1" applyFill="1" applyBorder="1" applyAlignment="1">
      <alignment horizontal="center" vertical="center" wrapText="1"/>
    </xf>
    <xf numFmtId="0" fontId="37" fillId="2" borderId="4" xfId="1" applyFont="1" applyFill="1" applyBorder="1" applyAlignment="1">
      <alignment horizontal="center" vertical="center" wrapText="1"/>
    </xf>
    <xf numFmtId="0" fontId="37" fillId="2" borderId="5" xfId="1" applyFont="1" applyFill="1" applyBorder="1" applyAlignment="1">
      <alignment horizontal="center" vertical="center" wrapText="1"/>
    </xf>
    <xf numFmtId="0" fontId="50" fillId="2" borderId="2" xfId="1" applyFont="1" applyFill="1" applyBorder="1" applyAlignment="1">
      <alignment horizontal="center" vertical="center" wrapText="1"/>
    </xf>
    <xf numFmtId="0" fontId="50" fillId="3" borderId="3" xfId="1" applyFont="1" applyFill="1" applyBorder="1" applyAlignment="1">
      <alignment horizontal="center" vertical="center"/>
    </xf>
    <xf numFmtId="0" fontId="50" fillId="2" borderId="4" xfId="1" applyFont="1" applyFill="1" applyBorder="1" applyAlignment="1">
      <alignment horizontal="center" vertical="center" wrapText="1"/>
    </xf>
    <xf numFmtId="0" fontId="50" fillId="2" borderId="5" xfId="1" applyFont="1" applyFill="1" applyBorder="1" applyAlignment="1">
      <alignment horizontal="center" vertical="center" wrapText="1"/>
    </xf>
    <xf numFmtId="0" fontId="53" fillId="0" borderId="0" xfId="1" applyFont="1" applyAlignment="1">
      <alignment horizontal="center" vertical="center"/>
    </xf>
    <xf numFmtId="0" fontId="8" fillId="0" borderId="0" xfId="1" applyBorder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53" fillId="0" borderId="0" xfId="1" applyFont="1" applyBorder="1" applyAlignment="1">
      <alignment horizontal="center" vertical="center"/>
    </xf>
    <xf numFmtId="1" fontId="37" fillId="2" borderId="44" xfId="1" applyNumberFormat="1" applyFont="1" applyFill="1" applyBorder="1" applyAlignment="1">
      <alignment horizontal="center" vertical="center" wrapText="1"/>
    </xf>
    <xf numFmtId="1" fontId="37" fillId="2" borderId="47" xfId="1" applyNumberFormat="1" applyFont="1" applyFill="1" applyBorder="1" applyAlignment="1">
      <alignment horizontal="center" vertical="center" wrapText="1"/>
    </xf>
    <xf numFmtId="0" fontId="37" fillId="2" borderId="44" xfId="1" applyFont="1" applyFill="1" applyBorder="1" applyAlignment="1">
      <alignment horizontal="center" vertical="center" wrapText="1"/>
    </xf>
    <xf numFmtId="0" fontId="37" fillId="2" borderId="47" xfId="1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38" fillId="0" borderId="0" xfId="1" applyFont="1" applyAlignment="1">
      <alignment horizontal="center"/>
    </xf>
  </cellXfs>
  <cellStyles count="15">
    <cellStyle name="Collegamento ipertestuale" xfId="4" builtinId="8"/>
    <cellStyle name="Normale" xfId="0" builtinId="0"/>
    <cellStyle name="Normale 2" xfId="1"/>
    <cellStyle name="Normale_T 22" xfId="9"/>
    <cellStyle name="Normale_T 24" xfId="5"/>
    <cellStyle name="Normale_T 3 a" xfId="2"/>
    <cellStyle name="Normale_T1B risultati regionali" xfId="3"/>
    <cellStyle name="Normale_T39 EX T22" xfId="10"/>
    <cellStyle name="Normale_T42B EX T 24_importazioni" xfId="12"/>
    <cellStyle name="Normale_T42C EX T 24_Agg" xfId="7"/>
    <cellStyle name="Normale_T49" xfId="8"/>
    <cellStyle name="Normale_T5 risultati europei" xfId="14"/>
    <cellStyle name="Normale_T53" xfId="11"/>
    <cellStyle name="Normale_T55" xfId="6"/>
    <cellStyle name="Normale_T6 risultati all'import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2400"/>
              <a:t>Analisi della risposta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'T4 risultati regionali'!$C$9:$H$9</c:f>
              <c:strCache>
                <c:ptCount val="1"/>
                <c:pt idx="0">
                  <c:v>CAMPIONI ANALIZZATI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8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'T4 risultati regionali'!$B$11:$B$31</c:f>
              <c:strCache>
                <c:ptCount val="21"/>
                <c:pt idx="0">
                  <c:v>Abruzzo </c:v>
                </c:pt>
                <c:pt idx="1">
                  <c:v>Basilicata</c:v>
                </c:pt>
                <c:pt idx="2">
                  <c:v>Bolzano (P.A.)</c:v>
                </c:pt>
                <c:pt idx="3">
                  <c:v>Calabria </c:v>
                </c:pt>
                <c:pt idx="4">
                  <c:v>Campania</c:v>
                </c:pt>
                <c:pt idx="5">
                  <c:v>Emilia Romagna</c:v>
                </c:pt>
                <c:pt idx="6">
                  <c:v>Friuli V.G.</c:v>
                </c:pt>
                <c:pt idx="7">
                  <c:v>Lazio</c:v>
                </c:pt>
                <c:pt idx="8">
                  <c:v>Liguria</c:v>
                </c:pt>
                <c:pt idx="9">
                  <c:v>Lombardia</c:v>
                </c:pt>
                <c:pt idx="10">
                  <c:v>Marche</c:v>
                </c:pt>
                <c:pt idx="11">
                  <c:v>Molise</c:v>
                </c:pt>
                <c:pt idx="12">
                  <c:v>Piemonte</c:v>
                </c:pt>
                <c:pt idx="13">
                  <c:v>Puglia</c:v>
                </c:pt>
                <c:pt idx="14">
                  <c:v>Sardegna</c:v>
                </c:pt>
                <c:pt idx="15">
                  <c:v>Sicilia</c:v>
                </c:pt>
                <c:pt idx="16">
                  <c:v>Toscana</c:v>
                </c:pt>
                <c:pt idx="17">
                  <c:v>Trento (P.A.)</c:v>
                </c:pt>
                <c:pt idx="18">
                  <c:v>Umbria</c:v>
                </c:pt>
                <c:pt idx="19">
                  <c:v>Valle d'Aosta</c:v>
                </c:pt>
                <c:pt idx="20">
                  <c:v>Veneto</c:v>
                </c:pt>
              </c:strCache>
            </c:strRef>
          </c:cat>
          <c:val>
            <c:numRef>
              <c:f>'T4 risultati regionali'!$H$11:$H$31</c:f>
              <c:numCache>
                <c:formatCode>#,##0</c:formatCode>
                <c:ptCount val="21"/>
                <c:pt idx="0">
                  <c:v>397</c:v>
                </c:pt>
                <c:pt idx="1">
                  <c:v>157</c:v>
                </c:pt>
                <c:pt idx="2">
                  <c:v>158</c:v>
                </c:pt>
                <c:pt idx="3">
                  <c:v>399</c:v>
                </c:pt>
                <c:pt idx="4">
                  <c:v>584</c:v>
                </c:pt>
                <c:pt idx="5">
                  <c:v>1301</c:v>
                </c:pt>
                <c:pt idx="6">
                  <c:v>98</c:v>
                </c:pt>
                <c:pt idx="7">
                  <c:v>814</c:v>
                </c:pt>
                <c:pt idx="8">
                  <c:v>96</c:v>
                </c:pt>
                <c:pt idx="9">
                  <c:v>449</c:v>
                </c:pt>
                <c:pt idx="10">
                  <c:v>263</c:v>
                </c:pt>
                <c:pt idx="11">
                  <c:v>104</c:v>
                </c:pt>
                <c:pt idx="12">
                  <c:v>416</c:v>
                </c:pt>
                <c:pt idx="13">
                  <c:v>948</c:v>
                </c:pt>
                <c:pt idx="14">
                  <c:v>200</c:v>
                </c:pt>
                <c:pt idx="15">
                  <c:v>1354</c:v>
                </c:pt>
                <c:pt idx="16">
                  <c:v>307</c:v>
                </c:pt>
                <c:pt idx="17">
                  <c:v>93</c:v>
                </c:pt>
                <c:pt idx="18">
                  <c:v>116</c:v>
                </c:pt>
                <c:pt idx="19">
                  <c:v>23</c:v>
                </c:pt>
                <c:pt idx="20">
                  <c:v>597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B4-42E6-93CE-93FEE3FF7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628440"/>
        <c:axId val="231628048"/>
      </c:barChart>
      <c:lineChart>
        <c:grouping val="stacked"/>
        <c:varyColors val="0"/>
        <c:ser>
          <c:idx val="0"/>
          <c:order val="0"/>
          <c:tx>
            <c:strRef>
              <c:f>'T4 risultati regionali'!$N$10</c:f>
              <c:strCache>
                <c:ptCount val="1"/>
                <c:pt idx="0">
                  <c:v>CAMPIONI EFFETTUATI SU ATTESI</c:v>
                </c:pt>
              </c:strCache>
            </c:strRef>
          </c:tx>
          <c:spPr>
            <a:ln w="12700">
              <a:solidFill>
                <a:srgbClr val="FF0066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0988194718885456E-2"/>
                  <c:y val="-8.828420677340118E-2"/>
                </c:manualLayout>
              </c:layout>
              <c:tx>
                <c:rich>
                  <a:bodyPr/>
                  <a:lstStyle/>
                  <a:p>
                    <a:fld id="{385E1694-63BB-4884-8BB5-A9741682D35D}" type="VALUE">
                      <a:rPr lang="en-US"/>
                      <a:pPr/>
                      <a:t>[VALORE]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3849C3A-6D7B-423E-A778-42333F460232}" type="VALUE">
                      <a:rPr lang="en-US"/>
                      <a:pPr/>
                      <a:t>[VALORE]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959E2A79-89F9-4AEA-AEDC-B5BDF56B85C9}" type="VALUE">
                      <a:rPr lang="en-US"/>
                      <a:pPr/>
                      <a:t>[VALORE]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867132867132861E-2"/>
                  <c:y val="-2.5196354392709231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2400" b="1">
                        <a:solidFill>
                          <a:srgbClr val="FF0000"/>
                        </a:solidFill>
                      </a:defRPr>
                    </a:pPr>
                    <a:fld id="{03C98972-C8EC-436B-B5FE-DF192F9C4E0F}" type="VALUE">
                      <a:rPr lang="en-US" sz="2400"/>
                      <a:pPr>
                        <a:defRPr sz="2400" b="1">
                          <a:solidFill>
                            <a:srgbClr val="FF0000"/>
                          </a:solidFill>
                        </a:defRPr>
                      </a:pPr>
                      <a:t>[VALORE]</a:t>
                    </a:fld>
                    <a:r>
                      <a:rPr lang="en-US" sz="2400"/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426573426573422E-2"/>
                      <c:h val="3.930708661417322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8572E6CE-305A-4E5F-B7E3-A2FB58D944EF}" type="VALUE">
                      <a:rPr lang="en-US"/>
                      <a:pPr/>
                      <a:t>[VALORE]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7.2027972027972134E-2"/>
                  <c:y val="-5.9212598425196848E-2"/>
                </c:manualLayout>
              </c:layout>
              <c:tx>
                <c:rich>
                  <a:bodyPr/>
                  <a:lstStyle/>
                  <a:p>
                    <a:fld id="{A5BE3075-5868-401E-A052-53C59F8DE1CC}" type="VALUE">
                      <a:rPr lang="en-US"/>
                      <a:pPr/>
                      <a:t>[VALORE]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D67BEE78-5D01-4AF6-B701-EFE3F1A4EE23}" type="VALUE">
                      <a:rPr lang="en-US"/>
                      <a:pPr/>
                      <a:t>[VALORE]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5FE6F5A8-ADF8-4AC9-A7B0-0856E1664DF3}" type="VALUE">
                      <a:rPr lang="en-US"/>
                      <a:pPr/>
                      <a:t>[VALORE]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 b="1">
                    <a:solidFill>
                      <a:srgbClr val="FF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'T4 risultati regionali'!$B$11:$B$31</c:f>
              <c:strCache>
                <c:ptCount val="21"/>
                <c:pt idx="0">
                  <c:v>Abruzzo </c:v>
                </c:pt>
                <c:pt idx="1">
                  <c:v>Basilicata</c:v>
                </c:pt>
                <c:pt idx="2">
                  <c:v>Bolzano (P.A.)</c:v>
                </c:pt>
                <c:pt idx="3">
                  <c:v>Calabria </c:v>
                </c:pt>
                <c:pt idx="4">
                  <c:v>Campania</c:v>
                </c:pt>
                <c:pt idx="5">
                  <c:v>Emilia Romagna</c:v>
                </c:pt>
                <c:pt idx="6">
                  <c:v>Friuli V.G.</c:v>
                </c:pt>
                <c:pt idx="7">
                  <c:v>Lazio</c:v>
                </c:pt>
                <c:pt idx="8">
                  <c:v>Liguria</c:v>
                </c:pt>
                <c:pt idx="9">
                  <c:v>Lombardia</c:v>
                </c:pt>
                <c:pt idx="10">
                  <c:v>Marche</c:v>
                </c:pt>
                <c:pt idx="11">
                  <c:v>Molise</c:v>
                </c:pt>
                <c:pt idx="12">
                  <c:v>Piemonte</c:v>
                </c:pt>
                <c:pt idx="13">
                  <c:v>Puglia</c:v>
                </c:pt>
                <c:pt idx="14">
                  <c:v>Sardegna</c:v>
                </c:pt>
                <c:pt idx="15">
                  <c:v>Sicilia</c:v>
                </c:pt>
                <c:pt idx="16">
                  <c:v>Toscana</c:v>
                </c:pt>
                <c:pt idx="17">
                  <c:v>Trento (P.A.)</c:v>
                </c:pt>
                <c:pt idx="18">
                  <c:v>Umbria</c:v>
                </c:pt>
                <c:pt idx="19">
                  <c:v>Valle d'Aosta</c:v>
                </c:pt>
                <c:pt idx="20">
                  <c:v>Veneto</c:v>
                </c:pt>
              </c:strCache>
            </c:strRef>
          </c:cat>
          <c:val>
            <c:numRef>
              <c:f>'T4 risultati regionali'!$N$11:$N$31</c:f>
              <c:numCache>
                <c:formatCode>#,##0</c:formatCode>
                <c:ptCount val="21"/>
                <c:pt idx="0">
                  <c:v>158.16733067729083</c:v>
                </c:pt>
                <c:pt idx="1">
                  <c:v>118.04511278195488</c:v>
                </c:pt>
                <c:pt idx="2">
                  <c:v>156.43564356435644</c:v>
                </c:pt>
                <c:pt idx="3">
                  <c:v>157.08661417322836</c:v>
                </c:pt>
                <c:pt idx="4">
                  <c:v>106.95970695970696</c:v>
                </c:pt>
                <c:pt idx="5">
                  <c:v>179.20110192837467</c:v>
                </c:pt>
                <c:pt idx="6">
                  <c:v>112.64367816091954</c:v>
                </c:pt>
                <c:pt idx="7">
                  <c:v>193.8095238095238</c:v>
                </c:pt>
                <c:pt idx="8">
                  <c:v>110.34482758620689</c:v>
                </c:pt>
                <c:pt idx="9">
                  <c:v>103.45622119815667</c:v>
                </c:pt>
                <c:pt idx="10">
                  <c:v>117.93721973094171</c:v>
                </c:pt>
                <c:pt idx="11">
                  <c:v>148.57142857142858</c:v>
                </c:pt>
                <c:pt idx="12">
                  <c:v>100.72639225181599</c:v>
                </c:pt>
                <c:pt idx="13">
                  <c:v>108.59106529209622</c:v>
                </c:pt>
                <c:pt idx="14">
                  <c:v>137.93103448275863</c:v>
                </c:pt>
                <c:pt idx="15">
                  <c:v>145.59139784946237</c:v>
                </c:pt>
                <c:pt idx="16">
                  <c:v>101.32013201320132</c:v>
                </c:pt>
                <c:pt idx="17">
                  <c:v>116.25000000000001</c:v>
                </c:pt>
                <c:pt idx="18">
                  <c:v>99.145299145299148</c:v>
                </c:pt>
                <c:pt idx="19">
                  <c:v>65.714285714285708</c:v>
                </c:pt>
                <c:pt idx="20">
                  <c:v>120.12072434607646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B4-42E6-93CE-93FEE3FF7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26872"/>
        <c:axId val="231627264"/>
      </c:lineChart>
      <c:valAx>
        <c:axId val="231627264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#,##0" sourceLinked="1"/>
        <c:majorTickMark val="none"/>
        <c:minorTickMark val="none"/>
        <c:tickLblPos val="nextTo"/>
        <c:crossAx val="231626872"/>
        <c:crosses val="autoZero"/>
        <c:crossBetween val="between"/>
      </c:valAx>
      <c:catAx>
        <c:axId val="231626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1627264"/>
        <c:crosses val="autoZero"/>
        <c:auto val="1"/>
        <c:lblAlgn val="ctr"/>
        <c:lblOffset val="100"/>
        <c:noMultiLvlLbl val="0"/>
      </c:catAx>
      <c:valAx>
        <c:axId val="23162804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231628440"/>
        <c:crosses val="max"/>
        <c:crossBetween val="between"/>
      </c:valAx>
      <c:catAx>
        <c:axId val="231628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1628048"/>
        <c:crosses val="autoZero"/>
        <c:auto val="1"/>
        <c:lblAlgn val="ctr"/>
        <c:lblOffset val="100"/>
        <c:noMultiLvlLbl val="0"/>
      </c:catAx>
      <c:spPr>
        <a:gradFill rotWithShape="0">
          <a:gsLst>
            <a:gs pos="0">
              <a:srgbClr val="FFFFFF"/>
            </a:gs>
            <a:gs pos="100000">
              <a:srgbClr val="69FFFF"/>
            </a:gs>
          </a:gsLst>
          <a:lin ang="5400000" scaled="1"/>
        </a:gradFill>
        <a:ln w="12700">
          <a:solidFill>
            <a:srgbClr val="69FFFF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178" r="0.75000000000000178" t="1" header="0.51180555555555562" footer="0.51180555555555562"/>
    <c:pageSetup firstPageNumber="0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2400" b="1"/>
              <a:t>CAMPIONI ANALIZZATI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'T7 e Graf.8'!$E$8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'T7 e Graf.8'!$D$9:$D$15</c:f>
              <c:strCache>
                <c:ptCount val="7"/>
                <c:pt idx="0">
                  <c:v>Frutta</c:v>
                </c:pt>
                <c:pt idx="1">
                  <c:v>Ortaggi</c:v>
                </c:pt>
                <c:pt idx="2">
                  <c:v>Cereali</c:v>
                </c:pt>
                <c:pt idx="3">
                  <c:v>Olio</c:v>
                </c:pt>
                <c:pt idx="4">
                  <c:v>Vino</c:v>
                </c:pt>
                <c:pt idx="5">
                  <c:v>baby food</c:v>
                </c:pt>
                <c:pt idx="6">
                  <c:v>altri prodotti</c:v>
                </c:pt>
              </c:strCache>
            </c:strRef>
          </c:cat>
          <c:val>
            <c:numRef>
              <c:f>'T7 e Graf.8'!$E$9:$E$15</c:f>
              <c:numCache>
                <c:formatCode>#,##0</c:formatCode>
                <c:ptCount val="7"/>
                <c:pt idx="0">
                  <c:v>3558</c:v>
                </c:pt>
                <c:pt idx="1">
                  <c:v>3035</c:v>
                </c:pt>
                <c:pt idx="2">
                  <c:v>1492</c:v>
                </c:pt>
                <c:pt idx="3">
                  <c:v>333</c:v>
                </c:pt>
                <c:pt idx="4">
                  <c:v>732</c:v>
                </c:pt>
                <c:pt idx="5" formatCode="General">
                  <c:v>75</c:v>
                </c:pt>
                <c:pt idx="6" formatCode="General">
                  <c:v>2272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77-4B06-8186-BB83D73F0BED}"/>
            </c:ext>
          </c:extLst>
        </c:ser>
        <c:ser>
          <c:idx val="1"/>
          <c:order val="1"/>
          <c:tx>
            <c:strRef>
              <c:f>'T7 e Graf.8'!$F$8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4814805363837089E-2"/>
                  <c:y val="-5.3709304100811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A77-4B06-8186-BB83D73F0B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0370360109308791E-2"/>
                  <c:y val="-1.611279123024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A77-4B06-8186-BB83D73F0B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1481476891006513E-2"/>
                  <c:y val="-4.833837369072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A77-4B06-8186-BB83D73F0B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7037031636478326E-2"/>
                  <c:y val="-0.123531399431865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A77-4B06-8186-BB83D73F0B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'T7 e Graf.8'!$D$9:$D$15</c:f>
              <c:strCache>
                <c:ptCount val="7"/>
                <c:pt idx="0">
                  <c:v>Frutta</c:v>
                </c:pt>
                <c:pt idx="1">
                  <c:v>Ortaggi</c:v>
                </c:pt>
                <c:pt idx="2">
                  <c:v>Cereali</c:v>
                </c:pt>
                <c:pt idx="3">
                  <c:v>Olio</c:v>
                </c:pt>
                <c:pt idx="4">
                  <c:v>Vino</c:v>
                </c:pt>
                <c:pt idx="5">
                  <c:v>baby food</c:v>
                </c:pt>
                <c:pt idx="6">
                  <c:v>altri prodotti</c:v>
                </c:pt>
              </c:strCache>
            </c:strRef>
          </c:cat>
          <c:val>
            <c:numRef>
              <c:f>'T7 e Graf.8'!$F$9:$F$15</c:f>
              <c:numCache>
                <c:formatCode>#,##0</c:formatCode>
                <c:ptCount val="7"/>
                <c:pt idx="0">
                  <c:v>3833</c:v>
                </c:pt>
                <c:pt idx="1">
                  <c:v>3405</c:v>
                </c:pt>
                <c:pt idx="2">
                  <c:v>1541</c:v>
                </c:pt>
                <c:pt idx="3">
                  <c:v>480</c:v>
                </c:pt>
                <c:pt idx="4">
                  <c:v>872</c:v>
                </c:pt>
                <c:pt idx="5" formatCode="General">
                  <c:v>56</c:v>
                </c:pt>
                <c:pt idx="6" formatCode="General">
                  <c:v>2163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A77-4B06-8186-BB83D73F0B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1629224"/>
        <c:axId val="231629616"/>
      </c:barChart>
      <c:catAx>
        <c:axId val="23162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629616"/>
        <c:crosses val="autoZero"/>
        <c:auto val="1"/>
        <c:lblAlgn val="ctr"/>
        <c:lblOffset val="100"/>
        <c:noMultiLvlLbl val="0"/>
      </c:catAx>
      <c:valAx>
        <c:axId val="23162961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31629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2400" b="1"/>
              <a:t>PERCENTUALE</a:t>
            </a:r>
            <a:r>
              <a:rPr lang="it-IT" sz="2400" b="1" baseline="0"/>
              <a:t> IRREGOLARITA'</a:t>
            </a:r>
            <a:endParaRPr lang="it-IT" sz="2400" b="1"/>
          </a:p>
        </c:rich>
      </c:tx>
      <c:layout>
        <c:manualLayout>
          <c:xMode val="edge"/>
          <c:yMode val="edge"/>
          <c:x val="0.28327465502455756"/>
          <c:y val="2.583897942989684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'T7 e Graf.8'!$O$8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'T7 e Graf.8'!$D$9:$D$15</c:f>
              <c:strCache>
                <c:ptCount val="7"/>
                <c:pt idx="0">
                  <c:v>Frutta</c:v>
                </c:pt>
                <c:pt idx="1">
                  <c:v>Ortaggi</c:v>
                </c:pt>
                <c:pt idx="2">
                  <c:v>Cereali</c:v>
                </c:pt>
                <c:pt idx="3">
                  <c:v>Olio</c:v>
                </c:pt>
                <c:pt idx="4">
                  <c:v>Vino</c:v>
                </c:pt>
                <c:pt idx="5">
                  <c:v>baby food</c:v>
                </c:pt>
                <c:pt idx="6">
                  <c:v>altri prodotti</c:v>
                </c:pt>
              </c:strCache>
            </c:strRef>
          </c:cat>
          <c:val>
            <c:numRef>
              <c:f>'T7 e Graf.8'!$O$9:$O$15</c:f>
              <c:numCache>
                <c:formatCode>#,##0.0</c:formatCode>
                <c:ptCount val="7"/>
                <c:pt idx="0">
                  <c:v>1.2366498032602586</c:v>
                </c:pt>
                <c:pt idx="1">
                  <c:v>1.4827018121911038</c:v>
                </c:pt>
                <c:pt idx="2">
                  <c:v>0.13404825737265416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0.79225352112676051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15-4198-8B5E-F2E2A152DA76}"/>
            </c:ext>
          </c:extLst>
        </c:ser>
        <c:ser>
          <c:idx val="1"/>
          <c:order val="1"/>
          <c:tx>
            <c:strRef>
              <c:f>'T7 e Graf.8'!$P$8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'T7 e Graf.8'!$D$9:$D$15</c:f>
              <c:strCache>
                <c:ptCount val="7"/>
                <c:pt idx="0">
                  <c:v>Frutta</c:v>
                </c:pt>
                <c:pt idx="1">
                  <c:v>Ortaggi</c:v>
                </c:pt>
                <c:pt idx="2">
                  <c:v>Cereali</c:v>
                </c:pt>
                <c:pt idx="3">
                  <c:v>Olio</c:v>
                </c:pt>
                <c:pt idx="4">
                  <c:v>Vino</c:v>
                </c:pt>
                <c:pt idx="5">
                  <c:v>baby food</c:v>
                </c:pt>
                <c:pt idx="6">
                  <c:v>altri prodotti</c:v>
                </c:pt>
              </c:strCache>
            </c:strRef>
          </c:cat>
          <c:val>
            <c:numRef>
              <c:f>'T7 e Graf.8'!$P$9:$P$15</c:f>
              <c:numCache>
                <c:formatCode>#,##0.0</c:formatCode>
                <c:ptCount val="7"/>
                <c:pt idx="0">
                  <c:v>0.91312288025045663</c:v>
                </c:pt>
                <c:pt idx="1">
                  <c:v>1.6152716593245229</c:v>
                </c:pt>
                <c:pt idx="2">
                  <c:v>0.5191434133679429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0.60101710587147483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15-4198-8B5E-F2E2A152DA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7936000"/>
        <c:axId val="227936392"/>
      </c:barChart>
      <c:catAx>
        <c:axId val="22793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7936392"/>
        <c:crosses val="autoZero"/>
        <c:auto val="1"/>
        <c:lblAlgn val="ctr"/>
        <c:lblOffset val="100"/>
        <c:noMultiLvlLbl val="0"/>
      </c:catAx>
      <c:valAx>
        <c:axId val="227936392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22793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/>
              <a:t>RAFFRONTO CON UNIONE EUROPEA                                                                                      ANNI 2009 - 2018
 PERCENTUALE  IRREGOLARITA'</a:t>
            </a:r>
          </a:p>
        </c:rich>
      </c:tx>
      <c:layout>
        <c:manualLayout>
          <c:xMode val="edge"/>
          <c:yMode val="edge"/>
          <c:x val="0.3270453707336789"/>
          <c:y val="2.16469291338582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032999629217823E-2"/>
          <c:y val="0.26274571560907822"/>
          <c:w val="0.90915832406377461"/>
          <c:h val="0.46470619113787393"/>
        </c:manualLayout>
      </c:layout>
      <c:lineChart>
        <c:grouping val="standard"/>
        <c:varyColors val="0"/>
        <c:ser>
          <c:idx val="0"/>
          <c:order val="0"/>
          <c:tx>
            <c:v>Irregolari IT</c:v>
          </c:tx>
          <c:spPr>
            <a:ln w="25400">
              <a:solidFill>
                <a:srgbClr val="008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  <a:prstDash val="solid"/>
              </a:ln>
            </c:spPr>
          </c:marker>
          <c:dLbls>
            <c:dLbl>
              <c:idx val="22"/>
              <c:layout>
                <c:manualLayout>
                  <c:x val="-4.4493882091211374E-3"/>
                  <c:y val="5.8823529411764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730-42FB-8193-CE7D6443157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'Graf. 9'!$T$21:$T$30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'Graf. 9'!$U$21:$U$30</c:f>
              <c:numCache>
                <c:formatCode>General</c:formatCode>
                <c:ptCount val="10"/>
                <c:pt idx="0">
                  <c:v>0.7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0.5</c:v>
                </c:pt>
                <c:pt idx="5">
                  <c:v>0.3</c:v>
                </c:pt>
                <c:pt idx="6">
                  <c:v>1.1000000000000001</c:v>
                </c:pt>
                <c:pt idx="7">
                  <c:v>0.8</c:v>
                </c:pt>
                <c:pt idx="8">
                  <c:v>0.9</c:v>
                </c:pt>
                <c:pt idx="9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30-42FB-8193-CE7D6443157E}"/>
            </c:ext>
          </c:extLst>
        </c:ser>
        <c:ser>
          <c:idx val="1"/>
          <c:order val="1"/>
          <c:tx>
            <c:v>irregolari EU</c:v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19"/>
              <c:layout>
                <c:manualLayout>
                  <c:x val="-8.8987764182424916E-3"/>
                  <c:y val="-6.6666666666666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730-42FB-8193-CE7D6443157E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1.92806822395254E-2"/>
                  <c:y val="-7.0588235294117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730-42FB-8193-CE7D6443157E}"/>
                </c:ex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1.3348164627363738E-2"/>
                  <c:y val="-3.5294117647058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730-42FB-8193-CE7D6443157E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2.0763811642565813E-2"/>
                  <c:y val="-4.7058823529411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DAC-4FF1-8849-99CF221861B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'Graf. 9'!$T$21:$T$30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'Graf. 9'!$V$21:$V$28</c:f>
              <c:numCache>
                <c:formatCode>General</c:formatCode>
                <c:ptCount val="8"/>
                <c:pt idx="0">
                  <c:v>2.6</c:v>
                </c:pt>
                <c:pt idx="1">
                  <c:v>1.6</c:v>
                </c:pt>
                <c:pt idx="2">
                  <c:v>1.5</c:v>
                </c:pt>
                <c:pt idx="3">
                  <c:v>1.7</c:v>
                </c:pt>
                <c:pt idx="4">
                  <c:v>1.5</c:v>
                </c:pt>
                <c:pt idx="5">
                  <c:v>1.6</c:v>
                </c:pt>
                <c:pt idx="6">
                  <c:v>1.6</c:v>
                </c:pt>
                <c:pt idx="7">
                  <c:v>2.2000000000000002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730-42FB-8193-CE7D64431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37176"/>
        <c:axId val="227937568"/>
      </c:lineChart>
      <c:catAx>
        <c:axId val="227937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ANNI</a:t>
                </a:r>
              </a:p>
            </c:rich>
          </c:tx>
          <c:layout>
            <c:manualLayout>
              <c:xMode val="edge"/>
              <c:yMode val="edge"/>
              <c:x val="0.49944382647385982"/>
              <c:y val="0.80294241161031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279375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2793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27937176"/>
        <c:crosses val="autoZero"/>
        <c:crossBetween val="midCat"/>
      </c:valAx>
      <c:spPr>
        <a:gradFill rotWithShape="0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2269187986651836E-2"/>
          <c:y val="0.88529411764705879"/>
          <c:w val="0.84872080088987767"/>
          <c:h val="7.64705882352941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178" r="0.75000000000000178" t="1" header="0.51180555555555562" footer="0.51180555555555562"/>
    <c:pageSetup paperSize="9" firstPageNumber="0" orientation="landscape" verticalDpi="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36</xdr:row>
      <xdr:rowOff>111125</xdr:rowOff>
    </xdr:from>
    <xdr:to>
      <xdr:col>13</xdr:col>
      <xdr:colOff>984250</xdr:colOff>
      <xdr:row>68</xdr:row>
      <xdr:rowOff>111125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6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25</xdr:row>
      <xdr:rowOff>95250</xdr:rowOff>
    </xdr:from>
    <xdr:to>
      <xdr:col>4</xdr:col>
      <xdr:colOff>1301750</xdr:colOff>
      <xdr:row>51</xdr:row>
      <xdr:rowOff>111125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3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190501</xdr:colOff>
      <xdr:row>26</xdr:row>
      <xdr:rowOff>15874</xdr:rowOff>
    </xdr:from>
    <xdr:to>
      <xdr:col>10</xdr:col>
      <xdr:colOff>523876</xdr:colOff>
      <xdr:row>51</xdr:row>
      <xdr:rowOff>63499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00000000-0008-0000-3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38100</xdr:rowOff>
    </xdr:from>
    <xdr:to>
      <xdr:col>15</xdr:col>
      <xdr:colOff>38100</xdr:colOff>
      <xdr:row>23</xdr:row>
      <xdr:rowOff>38100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4500-0000017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0.8424</cdr:x>
      <cdr:y>0.08271</cdr:y>
    </cdr:from>
    <cdr:to>
      <cdr:x>0.95773</cdr:x>
      <cdr:y>0.23235</cdr:y>
    </cdr:to>
    <cdr:pic>
      <cdr:nvPicPr>
        <cdr:cNvPr id="36865" name="Picture 1">
          <a:extLst xmlns:a="http://schemas.openxmlformats.org/drawingml/2006/main">
            <a:ext uri="{FF2B5EF4-FFF2-40B4-BE49-F238E27FC236}">
              <a16:creationId xmlns="" xmlns:a16="http://schemas.microsoft.com/office/drawing/2014/main" id="{D7A48C4F-3E05-46C2-8889-8032A8AD1F6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213479" y="267842"/>
          <a:ext cx="987546" cy="484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="25" zoomScaleNormal="25" zoomScaleSheetLayoutView="25" workbookViewId="0">
      <selection activeCell="E59" sqref="E59"/>
    </sheetView>
  </sheetViews>
  <sheetFormatPr defaultRowHeight="12.75"/>
  <cols>
    <col min="1" max="1" width="10.7109375" style="32" customWidth="1"/>
    <col min="2" max="2" width="76" style="32" customWidth="1"/>
    <col min="3" max="3" width="21.7109375" style="32" customWidth="1"/>
    <col min="4" max="4" width="205" style="33" customWidth="1"/>
    <col min="5" max="10" width="60.7109375" style="32" customWidth="1"/>
    <col min="11" max="11" width="10.7109375" style="32" customWidth="1"/>
    <col min="12" max="16384" width="9.140625" style="32"/>
  </cols>
  <sheetData>
    <row r="1" spans="1:11" s="1" customFormat="1" ht="85.5" customHeight="1">
      <c r="A1" s="285" t="s">
        <v>127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s="1" customFormat="1" ht="66" customHeight="1">
      <c r="A2" s="286" t="s">
        <v>142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s="1" customFormat="1" ht="90.75">
      <c r="A3" s="286" t="s">
        <v>126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s="1" customFormat="1" ht="60.75" thickBot="1">
      <c r="A4" s="287" t="s">
        <v>139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11" s="2" customFormat="1" ht="93" customHeight="1" thickTop="1" thickBot="1">
      <c r="B5" s="288" t="s">
        <v>41</v>
      </c>
      <c r="C5" s="289" t="s">
        <v>42</v>
      </c>
      <c r="D5" s="290"/>
      <c r="E5" s="293" t="s">
        <v>43</v>
      </c>
      <c r="F5" s="293"/>
      <c r="G5" s="293"/>
      <c r="H5" s="293"/>
      <c r="I5" s="293"/>
      <c r="J5" s="293"/>
      <c r="K5" s="3"/>
    </row>
    <row r="6" spans="1:11" s="2" customFormat="1" ht="183" customHeight="1" thickTop="1" thickBot="1">
      <c r="B6" s="288"/>
      <c r="C6" s="291"/>
      <c r="D6" s="292"/>
      <c r="E6" s="4" t="s">
        <v>9</v>
      </c>
      <c r="F6" s="5" t="s">
        <v>10</v>
      </c>
      <c r="G6" s="6" t="s">
        <v>44</v>
      </c>
      <c r="H6" s="7" t="s">
        <v>12</v>
      </c>
      <c r="I6" s="8" t="s">
        <v>13</v>
      </c>
      <c r="J6" s="9" t="s">
        <v>45</v>
      </c>
    </row>
    <row r="7" spans="1:11" s="10" customFormat="1" ht="150" customHeight="1" thickBot="1">
      <c r="B7" s="11" t="s">
        <v>46</v>
      </c>
      <c r="C7" s="12">
        <v>1</v>
      </c>
      <c r="D7" s="273" t="s">
        <v>47</v>
      </c>
      <c r="E7" s="12">
        <f>63+13</f>
        <v>76</v>
      </c>
      <c r="F7" s="12">
        <f>68+13</f>
        <v>81</v>
      </c>
      <c r="G7" s="12">
        <f>7+32</f>
        <v>39</v>
      </c>
      <c r="H7" s="12">
        <f>5+5</f>
        <v>10</v>
      </c>
      <c r="I7" s="12">
        <f>5+40</f>
        <v>45</v>
      </c>
      <c r="J7" s="13">
        <f>E7+F7+G7+H7+I7</f>
        <v>251</v>
      </c>
    </row>
    <row r="8" spans="1:11" s="10" customFormat="1" ht="114" customHeight="1" thickBot="1">
      <c r="B8" s="300" t="s">
        <v>48</v>
      </c>
      <c r="C8" s="294">
        <v>2</v>
      </c>
      <c r="D8" s="273" t="s">
        <v>49</v>
      </c>
      <c r="E8" s="294">
        <v>30</v>
      </c>
      <c r="F8" s="294">
        <v>31</v>
      </c>
      <c r="G8" s="294">
        <f>5+52</f>
        <v>57</v>
      </c>
      <c r="H8" s="294">
        <f>5+0</f>
        <v>5</v>
      </c>
      <c r="I8" s="294">
        <f>5+5</f>
        <v>10</v>
      </c>
      <c r="J8" s="298">
        <f>E8+F8+G8+H8+I8</f>
        <v>133</v>
      </c>
    </row>
    <row r="9" spans="1:11" s="10" customFormat="1" ht="114" customHeight="1" thickBot="1">
      <c r="B9" s="301"/>
      <c r="C9" s="295"/>
      <c r="D9" s="274" t="s">
        <v>50</v>
      </c>
      <c r="E9" s="295"/>
      <c r="F9" s="295"/>
      <c r="G9" s="295"/>
      <c r="H9" s="295"/>
      <c r="I9" s="295"/>
      <c r="J9" s="299"/>
    </row>
    <row r="10" spans="1:11" s="10" customFormat="1" ht="87" customHeight="1" thickBot="1">
      <c r="B10" s="296" t="s">
        <v>51</v>
      </c>
      <c r="C10" s="294">
        <v>2</v>
      </c>
      <c r="D10" s="273" t="s">
        <v>52</v>
      </c>
      <c r="E10" s="294">
        <v>71</v>
      </c>
      <c r="F10" s="294">
        <v>10</v>
      </c>
      <c r="G10" s="294">
        <v>5</v>
      </c>
      <c r="H10" s="294">
        <v>5</v>
      </c>
      <c r="I10" s="294">
        <v>10</v>
      </c>
      <c r="J10" s="298">
        <f>E10+F10+G10+H10+I10</f>
        <v>101</v>
      </c>
    </row>
    <row r="11" spans="1:11" s="10" customFormat="1" ht="90" customHeight="1" thickBot="1">
      <c r="B11" s="297"/>
      <c r="C11" s="295"/>
      <c r="D11" s="273" t="s">
        <v>53</v>
      </c>
      <c r="E11" s="295"/>
      <c r="F11" s="295"/>
      <c r="G11" s="295"/>
      <c r="H11" s="295"/>
      <c r="I11" s="295"/>
      <c r="J11" s="299"/>
    </row>
    <row r="12" spans="1:11" s="10" customFormat="1" ht="150" customHeight="1" thickBot="1">
      <c r="B12" s="296" t="s">
        <v>54</v>
      </c>
      <c r="C12" s="294">
        <v>2</v>
      </c>
      <c r="D12" s="273" t="s">
        <v>61</v>
      </c>
      <c r="E12" s="21"/>
      <c r="F12" s="21"/>
      <c r="G12" s="21"/>
      <c r="H12" s="21"/>
      <c r="I12" s="21"/>
      <c r="J12" s="22"/>
    </row>
    <row r="13" spans="1:11" s="10" customFormat="1" ht="207" customHeight="1" thickBot="1">
      <c r="B13" s="297"/>
      <c r="C13" s="295"/>
      <c r="D13" s="273" t="s">
        <v>55</v>
      </c>
      <c r="E13" s="12">
        <v>123</v>
      </c>
      <c r="F13" s="12">
        <v>76</v>
      </c>
      <c r="G13" s="12">
        <v>18</v>
      </c>
      <c r="H13" s="12">
        <v>24</v>
      </c>
      <c r="I13" s="12">
        <v>13</v>
      </c>
      <c r="J13" s="13">
        <f>E13+F13+G13+H13+I13</f>
        <v>254</v>
      </c>
    </row>
    <row r="14" spans="1:11" s="10" customFormat="1" ht="150" customHeight="1" thickBot="1">
      <c r="B14" s="300" t="s">
        <v>56</v>
      </c>
      <c r="C14" s="294">
        <v>6</v>
      </c>
      <c r="D14" s="273" t="s">
        <v>57</v>
      </c>
      <c r="E14" s="294">
        <v>181</v>
      </c>
      <c r="F14" s="294">
        <v>258</v>
      </c>
      <c r="G14" s="294">
        <f>32+38</f>
        <v>70</v>
      </c>
      <c r="H14" s="294">
        <f>5+5</f>
        <v>10</v>
      </c>
      <c r="I14" s="294">
        <f>6+21</f>
        <v>27</v>
      </c>
      <c r="J14" s="298">
        <f>E14+F14+G14+H14+I14</f>
        <v>546</v>
      </c>
    </row>
    <row r="15" spans="1:11" s="10" customFormat="1" ht="99" customHeight="1" thickBot="1">
      <c r="B15" s="307"/>
      <c r="C15" s="302"/>
      <c r="D15" s="273" t="s">
        <v>73</v>
      </c>
      <c r="E15" s="302"/>
      <c r="F15" s="302"/>
      <c r="G15" s="302"/>
      <c r="H15" s="302"/>
      <c r="I15" s="302"/>
      <c r="J15" s="303"/>
    </row>
    <row r="16" spans="1:11" s="10" customFormat="1" ht="87" customHeight="1" thickBot="1">
      <c r="B16" s="307"/>
      <c r="C16" s="302"/>
      <c r="D16" s="273" t="s">
        <v>74</v>
      </c>
      <c r="E16" s="302"/>
      <c r="F16" s="302"/>
      <c r="G16" s="302"/>
      <c r="H16" s="302"/>
      <c r="I16" s="302"/>
      <c r="J16" s="303"/>
    </row>
    <row r="17" spans="2:10" s="10" customFormat="1" ht="150" customHeight="1" thickBot="1">
      <c r="B17" s="307"/>
      <c r="C17" s="302"/>
      <c r="D17" s="273" t="s">
        <v>61</v>
      </c>
      <c r="E17" s="302"/>
      <c r="F17" s="302"/>
      <c r="G17" s="302"/>
      <c r="H17" s="302"/>
      <c r="I17" s="302"/>
      <c r="J17" s="303"/>
    </row>
    <row r="18" spans="2:10" s="10" customFormat="1" ht="93" customHeight="1" thickBot="1">
      <c r="B18" s="307"/>
      <c r="C18" s="302"/>
      <c r="D18" s="273" t="s">
        <v>68</v>
      </c>
      <c r="E18" s="302"/>
      <c r="F18" s="302"/>
      <c r="G18" s="302"/>
      <c r="H18" s="302"/>
      <c r="I18" s="302"/>
      <c r="J18" s="303"/>
    </row>
    <row r="19" spans="2:10" s="10" customFormat="1" ht="150" customHeight="1" thickBot="1">
      <c r="B19" s="301"/>
      <c r="C19" s="295"/>
      <c r="D19" s="273" t="s">
        <v>58</v>
      </c>
      <c r="E19" s="295"/>
      <c r="F19" s="295"/>
      <c r="G19" s="295"/>
      <c r="H19" s="295"/>
      <c r="I19" s="295"/>
      <c r="J19" s="299"/>
    </row>
    <row r="20" spans="2:10" s="10" customFormat="1" ht="150" customHeight="1" thickBot="1">
      <c r="B20" s="304" t="s">
        <v>59</v>
      </c>
      <c r="C20" s="294">
        <v>2</v>
      </c>
      <c r="D20" s="273" t="s">
        <v>60</v>
      </c>
      <c r="E20" s="305">
        <v>247</v>
      </c>
      <c r="F20" s="305">
        <v>218</v>
      </c>
      <c r="G20" s="305">
        <f>162+22</f>
        <v>184</v>
      </c>
      <c r="H20" s="305">
        <v>10</v>
      </c>
      <c r="I20" s="305">
        <f>62+5</f>
        <v>67</v>
      </c>
      <c r="J20" s="306">
        <f>E20+F20+G20+H20+I20</f>
        <v>726</v>
      </c>
    </row>
    <row r="21" spans="2:10" s="10" customFormat="1" ht="150" customHeight="1" thickBot="1">
      <c r="B21" s="304"/>
      <c r="C21" s="295"/>
      <c r="D21" s="273" t="s">
        <v>61</v>
      </c>
      <c r="E21" s="305"/>
      <c r="F21" s="305"/>
      <c r="G21" s="305"/>
      <c r="H21" s="305"/>
      <c r="I21" s="305"/>
      <c r="J21" s="306"/>
    </row>
    <row r="22" spans="2:10" s="10" customFormat="1" ht="99" customHeight="1" thickBot="1">
      <c r="B22" s="296" t="s">
        <v>62</v>
      </c>
      <c r="C22" s="294">
        <v>2</v>
      </c>
      <c r="D22" s="273" t="s">
        <v>210</v>
      </c>
      <c r="E22" s="294">
        <v>32</v>
      </c>
      <c r="F22" s="294">
        <v>18</v>
      </c>
      <c r="G22" s="294">
        <f>5+7</f>
        <v>12</v>
      </c>
      <c r="H22" s="294">
        <f>5+5</f>
        <v>10</v>
      </c>
      <c r="I22" s="294">
        <f>10+5</f>
        <v>15</v>
      </c>
      <c r="J22" s="298">
        <f>E22+F22+G22+H22+I22</f>
        <v>87</v>
      </c>
    </row>
    <row r="23" spans="2:10" s="10" customFormat="1" ht="150" customHeight="1" thickBot="1">
      <c r="B23" s="297"/>
      <c r="C23" s="295"/>
      <c r="D23" s="273" t="s">
        <v>63</v>
      </c>
      <c r="E23" s="295"/>
      <c r="F23" s="295"/>
      <c r="G23" s="295"/>
      <c r="H23" s="295"/>
      <c r="I23" s="295"/>
      <c r="J23" s="299"/>
    </row>
    <row r="24" spans="2:10" s="10" customFormat="1" ht="150" customHeight="1" thickBot="1">
      <c r="B24" s="304" t="s">
        <v>64</v>
      </c>
      <c r="C24" s="294">
        <v>2</v>
      </c>
      <c r="D24" s="273" t="s">
        <v>65</v>
      </c>
      <c r="E24" s="305">
        <v>125</v>
      </c>
      <c r="F24" s="305">
        <v>160</v>
      </c>
      <c r="G24" s="305">
        <f>58+29</f>
        <v>87</v>
      </c>
      <c r="H24" s="305">
        <f>5+5</f>
        <v>10</v>
      </c>
      <c r="I24" s="305">
        <f>32+6</f>
        <v>38</v>
      </c>
      <c r="J24" s="306">
        <f>E24+F24+G24+H24+I24</f>
        <v>420</v>
      </c>
    </row>
    <row r="25" spans="2:10" s="10" customFormat="1" ht="150" customHeight="1" thickBot="1">
      <c r="B25" s="304"/>
      <c r="C25" s="295"/>
      <c r="D25" s="273" t="s">
        <v>66</v>
      </c>
      <c r="E25" s="305"/>
      <c r="F25" s="305"/>
      <c r="G25" s="305"/>
      <c r="H25" s="305"/>
      <c r="I25" s="305"/>
      <c r="J25" s="306"/>
    </row>
    <row r="26" spans="2:10" s="10" customFormat="1" ht="99" customHeight="1" thickBot="1">
      <c r="B26" s="304" t="s">
        <v>67</v>
      </c>
      <c r="C26" s="294">
        <v>3</v>
      </c>
      <c r="D26" s="273" t="s">
        <v>68</v>
      </c>
      <c r="E26" s="305">
        <v>23</v>
      </c>
      <c r="F26" s="305">
        <v>30</v>
      </c>
      <c r="G26" s="305">
        <f>9+5</f>
        <v>14</v>
      </c>
      <c r="H26" s="305">
        <f>5+5</f>
        <v>10</v>
      </c>
      <c r="I26" s="305">
        <f>5+5</f>
        <v>10</v>
      </c>
      <c r="J26" s="306">
        <f>E26+F26+G26+H26+I26</f>
        <v>87</v>
      </c>
    </row>
    <row r="27" spans="2:10" s="10" customFormat="1" ht="174" customHeight="1" thickBot="1">
      <c r="B27" s="304"/>
      <c r="C27" s="302"/>
      <c r="D27" s="273" t="s">
        <v>70</v>
      </c>
      <c r="E27" s="305"/>
      <c r="F27" s="305"/>
      <c r="G27" s="305"/>
      <c r="H27" s="305"/>
      <c r="I27" s="305"/>
      <c r="J27" s="306"/>
    </row>
    <row r="28" spans="2:10" s="10" customFormat="1" ht="150" customHeight="1" thickBot="1">
      <c r="B28" s="304"/>
      <c r="C28" s="302"/>
      <c r="D28" s="273" t="s">
        <v>61</v>
      </c>
      <c r="E28" s="305"/>
      <c r="F28" s="305"/>
      <c r="G28" s="305"/>
      <c r="H28" s="305"/>
      <c r="I28" s="305"/>
      <c r="J28" s="306"/>
    </row>
    <row r="29" spans="2:10" s="10" customFormat="1" ht="99" customHeight="1" thickBot="1">
      <c r="B29" s="304" t="s">
        <v>72</v>
      </c>
      <c r="C29" s="294">
        <v>3</v>
      </c>
      <c r="D29" s="273" t="s">
        <v>73</v>
      </c>
      <c r="E29" s="305">
        <v>123</v>
      </c>
      <c r="F29" s="305">
        <v>139</v>
      </c>
      <c r="G29" s="305">
        <f>81+50</f>
        <v>131</v>
      </c>
      <c r="H29" s="305">
        <v>15</v>
      </c>
      <c r="I29" s="305">
        <f>16+10</f>
        <v>26</v>
      </c>
      <c r="J29" s="306">
        <f>E29+F29+G29+H29+I29</f>
        <v>434</v>
      </c>
    </row>
    <row r="30" spans="2:10" s="10" customFormat="1" ht="90" customHeight="1" thickBot="1">
      <c r="B30" s="304"/>
      <c r="C30" s="302"/>
      <c r="D30" s="273" t="s">
        <v>74</v>
      </c>
      <c r="E30" s="305"/>
      <c r="F30" s="305"/>
      <c r="G30" s="305"/>
      <c r="H30" s="305"/>
      <c r="I30" s="305"/>
      <c r="J30" s="306"/>
    </row>
    <row r="31" spans="2:10" s="10" customFormat="1" ht="150" customHeight="1" thickBot="1">
      <c r="B31" s="304"/>
      <c r="C31" s="295"/>
      <c r="D31" s="273" t="s">
        <v>61</v>
      </c>
      <c r="E31" s="305"/>
      <c r="F31" s="305"/>
      <c r="G31" s="305"/>
      <c r="H31" s="305"/>
      <c r="I31" s="305"/>
      <c r="J31" s="306"/>
    </row>
    <row r="32" spans="2:10" s="10" customFormat="1" ht="150" customHeight="1" thickBot="1">
      <c r="B32" s="304" t="s">
        <v>75</v>
      </c>
      <c r="C32" s="294">
        <v>2</v>
      </c>
      <c r="D32" s="273" t="s">
        <v>71</v>
      </c>
      <c r="E32" s="294">
        <v>46</v>
      </c>
      <c r="F32" s="294">
        <v>53</v>
      </c>
      <c r="G32" s="294">
        <f>8+82</f>
        <v>90</v>
      </c>
      <c r="H32" s="294">
        <f>5+5</f>
        <v>10</v>
      </c>
      <c r="I32" s="294">
        <f>5+19</f>
        <v>24</v>
      </c>
      <c r="J32" s="298">
        <f>E32+F32+G32+H32+I32</f>
        <v>223</v>
      </c>
    </row>
    <row r="33" spans="2:10" s="10" customFormat="1" ht="105" customHeight="1" thickBot="1">
      <c r="B33" s="304"/>
      <c r="C33" s="295"/>
      <c r="D33" s="273" t="s">
        <v>76</v>
      </c>
      <c r="E33" s="295"/>
      <c r="F33" s="295"/>
      <c r="G33" s="295"/>
      <c r="H33" s="295"/>
      <c r="I33" s="295"/>
      <c r="J33" s="299"/>
    </row>
    <row r="34" spans="2:10" s="10" customFormat="1" ht="150" customHeight="1" thickBot="1">
      <c r="B34" s="11" t="s">
        <v>77</v>
      </c>
      <c r="C34" s="14">
        <v>1</v>
      </c>
      <c r="D34" s="273" t="s">
        <v>78</v>
      </c>
      <c r="E34" s="15">
        <v>12</v>
      </c>
      <c r="F34" s="15">
        <v>10</v>
      </c>
      <c r="G34" s="15">
        <f>28+5</f>
        <v>33</v>
      </c>
      <c r="H34" s="15">
        <v>5</v>
      </c>
      <c r="I34" s="15">
        <f>5+5</f>
        <v>10</v>
      </c>
      <c r="J34" s="13">
        <f>E34+F34+G34+H34+I34</f>
        <v>70</v>
      </c>
    </row>
    <row r="35" spans="2:10" s="10" customFormat="1" ht="150" customHeight="1" thickBot="1">
      <c r="B35" s="304" t="s">
        <v>79</v>
      </c>
      <c r="C35" s="294">
        <v>3</v>
      </c>
      <c r="D35" s="273" t="s">
        <v>61</v>
      </c>
      <c r="E35" s="305">
        <v>116</v>
      </c>
      <c r="F35" s="305">
        <v>87</v>
      </c>
      <c r="G35" s="305">
        <v>161</v>
      </c>
      <c r="H35" s="305">
        <v>10</v>
      </c>
      <c r="I35" s="305">
        <v>39</v>
      </c>
      <c r="J35" s="306">
        <f>E35+F35+G35+H35+I35</f>
        <v>413</v>
      </c>
    </row>
    <row r="36" spans="2:10" s="10" customFormat="1" ht="150" customHeight="1" thickBot="1">
      <c r="B36" s="304"/>
      <c r="C36" s="302"/>
      <c r="D36" s="273" t="s">
        <v>70</v>
      </c>
      <c r="E36" s="305"/>
      <c r="F36" s="305"/>
      <c r="G36" s="305"/>
      <c r="H36" s="305"/>
      <c r="I36" s="305"/>
      <c r="J36" s="306"/>
    </row>
    <row r="37" spans="2:10" s="10" customFormat="1" ht="150" customHeight="1" thickBot="1">
      <c r="B37" s="304"/>
      <c r="C37" s="295"/>
      <c r="D37" s="273" t="s">
        <v>78</v>
      </c>
      <c r="E37" s="305"/>
      <c r="F37" s="305"/>
      <c r="G37" s="305"/>
      <c r="H37" s="305"/>
      <c r="I37" s="305"/>
      <c r="J37" s="306"/>
    </row>
    <row r="38" spans="2:10" s="10" customFormat="1" ht="93" customHeight="1" thickBot="1">
      <c r="B38" s="300" t="s">
        <v>80</v>
      </c>
      <c r="C38" s="294">
        <v>3</v>
      </c>
      <c r="D38" s="273" t="s">
        <v>81</v>
      </c>
      <c r="E38" s="294">
        <v>257</v>
      </c>
      <c r="F38" s="294">
        <v>356</v>
      </c>
      <c r="G38" s="294">
        <f>111+22</f>
        <v>133</v>
      </c>
      <c r="H38" s="294">
        <f>26+5</f>
        <v>31</v>
      </c>
      <c r="I38" s="294">
        <f>91+5</f>
        <v>96</v>
      </c>
      <c r="J38" s="298">
        <f>E38+F38+G38+H38+I38</f>
        <v>873</v>
      </c>
    </row>
    <row r="39" spans="2:10" s="10" customFormat="1" ht="93" customHeight="1" thickBot="1">
      <c r="B39" s="307"/>
      <c r="C39" s="302"/>
      <c r="D39" s="273" t="s">
        <v>49</v>
      </c>
      <c r="E39" s="302"/>
      <c r="F39" s="302"/>
      <c r="G39" s="302"/>
      <c r="H39" s="302"/>
      <c r="I39" s="302"/>
      <c r="J39" s="303"/>
    </row>
    <row r="40" spans="2:10" s="10" customFormat="1" ht="150" customHeight="1" thickBot="1">
      <c r="B40" s="307"/>
      <c r="C40" s="295"/>
      <c r="D40" s="273" t="s">
        <v>78</v>
      </c>
      <c r="E40" s="295"/>
      <c r="F40" s="295"/>
      <c r="G40" s="295"/>
      <c r="H40" s="295"/>
      <c r="I40" s="295"/>
      <c r="J40" s="299"/>
    </row>
    <row r="41" spans="2:10" s="10" customFormat="1" ht="150" customHeight="1" thickBot="1">
      <c r="B41" s="16" t="s">
        <v>82</v>
      </c>
      <c r="C41" s="12">
        <v>1</v>
      </c>
      <c r="D41" s="273" t="s">
        <v>83</v>
      </c>
      <c r="E41" s="12">
        <v>43</v>
      </c>
      <c r="F41" s="12">
        <v>46</v>
      </c>
      <c r="G41" s="12">
        <f>21+9</f>
        <v>30</v>
      </c>
      <c r="H41" s="12">
        <f>5+5</f>
        <v>10</v>
      </c>
      <c r="I41" s="12">
        <f>5+11</f>
        <v>16</v>
      </c>
      <c r="J41" s="13">
        <f>E41+F41+G41+H41+I41</f>
        <v>145</v>
      </c>
    </row>
    <row r="42" spans="2:10" s="10" customFormat="1" ht="150" customHeight="1" thickBot="1">
      <c r="B42" s="17" t="s">
        <v>84</v>
      </c>
      <c r="C42" s="12">
        <v>1</v>
      </c>
      <c r="D42" s="273" t="s">
        <v>85</v>
      </c>
      <c r="E42" s="18">
        <v>477</v>
      </c>
      <c r="F42" s="12">
        <v>209</v>
      </c>
      <c r="G42" s="12">
        <f>28+95</f>
        <v>123</v>
      </c>
      <c r="H42" s="12">
        <f>7+5</f>
        <v>12</v>
      </c>
      <c r="I42" s="12">
        <f>104+5</f>
        <v>109</v>
      </c>
      <c r="J42" s="19">
        <f>E42+F42+G42+H42+I42</f>
        <v>930</v>
      </c>
    </row>
    <row r="43" spans="2:10" s="10" customFormat="1" ht="150" customHeight="1" thickBot="1">
      <c r="B43" s="11" t="s">
        <v>86</v>
      </c>
      <c r="C43" s="294">
        <v>2</v>
      </c>
      <c r="D43" s="273" t="s">
        <v>66</v>
      </c>
      <c r="E43" s="308">
        <v>90</v>
      </c>
      <c r="F43" s="294">
        <v>71</v>
      </c>
      <c r="G43" s="294">
        <f>20+69</f>
        <v>89</v>
      </c>
      <c r="H43" s="294">
        <f>10+5</f>
        <v>15</v>
      </c>
      <c r="I43" s="294">
        <f>5+33</f>
        <v>38</v>
      </c>
      <c r="J43" s="309">
        <f>E43+F43+G43+H43+I43</f>
        <v>303</v>
      </c>
    </row>
    <row r="44" spans="2:10" s="10" customFormat="1" ht="150" customHeight="1" thickBot="1">
      <c r="B44" s="20"/>
      <c r="C44" s="295"/>
      <c r="D44" s="273" t="s">
        <v>87</v>
      </c>
      <c r="E44" s="308"/>
      <c r="F44" s="294"/>
      <c r="G44" s="294"/>
      <c r="H44" s="294"/>
      <c r="I44" s="294"/>
      <c r="J44" s="309"/>
    </row>
    <row r="45" spans="2:10" s="10" customFormat="1" ht="99" customHeight="1" thickBot="1">
      <c r="B45" s="304" t="s">
        <v>88</v>
      </c>
      <c r="C45" s="294">
        <v>3</v>
      </c>
      <c r="D45" s="273" t="s">
        <v>60</v>
      </c>
      <c r="E45" s="305">
        <v>47</v>
      </c>
      <c r="F45" s="305">
        <v>10</v>
      </c>
      <c r="G45" s="305">
        <v>5</v>
      </c>
      <c r="H45" s="305">
        <v>5</v>
      </c>
      <c r="I45" s="305">
        <f>8+5</f>
        <v>13</v>
      </c>
      <c r="J45" s="306">
        <f>E45+F45+G45+H45+I45</f>
        <v>80</v>
      </c>
    </row>
    <row r="46" spans="2:10" s="10" customFormat="1" ht="99" customHeight="1" thickBot="1">
      <c r="B46" s="304"/>
      <c r="C46" s="302"/>
      <c r="D46" s="273" t="s">
        <v>186</v>
      </c>
      <c r="E46" s="305"/>
      <c r="F46" s="305"/>
      <c r="G46" s="305"/>
      <c r="H46" s="305"/>
      <c r="I46" s="305"/>
      <c r="J46" s="306"/>
    </row>
    <row r="47" spans="2:10" s="10" customFormat="1" ht="150" customHeight="1" thickBot="1">
      <c r="B47" s="304"/>
      <c r="C47" s="295"/>
      <c r="D47" s="273" t="s">
        <v>63</v>
      </c>
      <c r="E47" s="305"/>
      <c r="F47" s="305"/>
      <c r="G47" s="305"/>
      <c r="H47" s="305"/>
      <c r="I47" s="305"/>
      <c r="J47" s="306"/>
    </row>
    <row r="48" spans="2:10" s="10" customFormat="1" ht="150" customHeight="1" thickBot="1">
      <c r="B48" s="300" t="s">
        <v>89</v>
      </c>
      <c r="C48" s="294">
        <v>3</v>
      </c>
      <c r="D48" s="273" t="s">
        <v>187</v>
      </c>
      <c r="E48" s="294">
        <v>19</v>
      </c>
      <c r="F48" s="294">
        <v>18</v>
      </c>
      <c r="G48" s="294">
        <f>53+5</f>
        <v>58</v>
      </c>
      <c r="H48" s="294">
        <f>5+5</f>
        <v>10</v>
      </c>
      <c r="I48" s="294">
        <f>7+5</f>
        <v>12</v>
      </c>
      <c r="J48" s="298">
        <f>E48+F48+G48+H48+I48</f>
        <v>117</v>
      </c>
    </row>
    <row r="49" spans="1:11" s="10" customFormat="1" ht="150" customHeight="1" thickBot="1">
      <c r="B49" s="307"/>
      <c r="C49" s="302"/>
      <c r="D49" s="274" t="s">
        <v>50</v>
      </c>
      <c r="E49" s="302"/>
      <c r="F49" s="302"/>
      <c r="G49" s="302"/>
      <c r="H49" s="302"/>
      <c r="I49" s="302"/>
      <c r="J49" s="303"/>
    </row>
    <row r="50" spans="1:11" s="10" customFormat="1" ht="150" customHeight="1" thickBot="1">
      <c r="B50" s="301"/>
      <c r="C50" s="295"/>
      <c r="D50" s="273" t="s">
        <v>71</v>
      </c>
      <c r="E50" s="295"/>
      <c r="F50" s="295"/>
      <c r="G50" s="295"/>
      <c r="H50" s="295"/>
      <c r="I50" s="295"/>
      <c r="J50" s="299"/>
    </row>
    <row r="51" spans="1:11" s="10" customFormat="1" ht="150" customHeight="1" thickBot="1">
      <c r="B51" s="304" t="s">
        <v>90</v>
      </c>
      <c r="C51" s="294">
        <v>3</v>
      </c>
      <c r="D51" s="273" t="s">
        <v>61</v>
      </c>
      <c r="E51" s="294">
        <v>10</v>
      </c>
      <c r="F51" s="294">
        <v>5</v>
      </c>
      <c r="G51" s="294">
        <v>5</v>
      </c>
      <c r="H51" s="294">
        <v>5</v>
      </c>
      <c r="I51" s="294">
        <v>10</v>
      </c>
      <c r="J51" s="298">
        <f>E51+F51+G51+H51+I51</f>
        <v>35</v>
      </c>
    </row>
    <row r="52" spans="1:11" s="10" customFormat="1" ht="150" customHeight="1" thickBot="1">
      <c r="B52" s="304"/>
      <c r="C52" s="302"/>
      <c r="D52" s="273" t="s">
        <v>70</v>
      </c>
      <c r="E52" s="302"/>
      <c r="F52" s="302"/>
      <c r="G52" s="302"/>
      <c r="H52" s="302"/>
      <c r="I52" s="302"/>
      <c r="J52" s="303"/>
    </row>
    <row r="53" spans="1:11" s="10" customFormat="1" ht="75" customHeight="1" thickBot="1">
      <c r="B53" s="304"/>
      <c r="C53" s="295"/>
      <c r="D53" s="273" t="s">
        <v>91</v>
      </c>
      <c r="E53" s="295"/>
      <c r="F53" s="295"/>
      <c r="G53" s="295"/>
      <c r="H53" s="295"/>
      <c r="I53" s="295"/>
      <c r="J53" s="299"/>
    </row>
    <row r="54" spans="1:11" s="10" customFormat="1" ht="75" customHeight="1" thickBot="1">
      <c r="B54" s="296" t="s">
        <v>92</v>
      </c>
      <c r="C54" s="294">
        <v>2</v>
      </c>
      <c r="D54" s="273" t="s">
        <v>69</v>
      </c>
      <c r="E54" s="21"/>
      <c r="F54" s="21"/>
      <c r="G54" s="21"/>
      <c r="H54" s="21"/>
      <c r="I54" s="21"/>
      <c r="J54" s="22"/>
    </row>
    <row r="55" spans="1:11" s="10" customFormat="1" ht="138" customHeight="1" thickBot="1">
      <c r="B55" s="311"/>
      <c r="C55" s="295"/>
      <c r="D55" s="273" t="s">
        <v>63</v>
      </c>
      <c r="E55" s="23">
        <v>213</v>
      </c>
      <c r="F55" s="23">
        <v>123</v>
      </c>
      <c r="G55" s="23">
        <f>24+38</f>
        <v>62</v>
      </c>
      <c r="H55" s="23">
        <f>10+5</f>
        <v>15</v>
      </c>
      <c r="I55" s="23">
        <f>5+79</f>
        <v>84</v>
      </c>
      <c r="J55" s="24">
        <f>E55+F55+G55+H55+I55</f>
        <v>497</v>
      </c>
    </row>
    <row r="56" spans="1:11" s="25" customFormat="1" ht="200.1" customHeight="1" thickTop="1" thickBot="1">
      <c r="B56" s="26" t="s">
        <v>93</v>
      </c>
      <c r="C56" s="27"/>
      <c r="D56" s="28"/>
      <c r="E56" s="29">
        <f t="shared" ref="E56:J56" si="0">SUM(E7:E55)</f>
        <v>2361</v>
      </c>
      <c r="F56" s="30">
        <f t="shared" si="0"/>
        <v>2009</v>
      </c>
      <c r="G56" s="30">
        <f t="shared" si="0"/>
        <v>1406</v>
      </c>
      <c r="H56" s="30">
        <f t="shared" si="0"/>
        <v>237</v>
      </c>
      <c r="I56" s="30">
        <f t="shared" si="0"/>
        <v>712</v>
      </c>
      <c r="J56" s="31">
        <f t="shared" si="0"/>
        <v>6725</v>
      </c>
    </row>
    <row r="57" spans="1:11" ht="159" customHeight="1" thickTop="1">
      <c r="B57" s="312" t="s">
        <v>211</v>
      </c>
      <c r="C57" s="312"/>
      <c r="D57" s="312"/>
      <c r="E57" s="312"/>
      <c r="F57" s="312"/>
      <c r="G57" s="312"/>
      <c r="H57" s="312"/>
      <c r="I57" s="312"/>
      <c r="J57" s="312"/>
    </row>
    <row r="58" spans="1:11" ht="159" customHeight="1"/>
    <row r="59" spans="1:11" ht="200.1" customHeight="1">
      <c r="B59" s="34"/>
      <c r="C59" s="34"/>
      <c r="D59" s="34"/>
      <c r="E59" s="34"/>
      <c r="F59" s="34"/>
      <c r="G59" s="34"/>
      <c r="H59" s="34"/>
      <c r="I59" s="34"/>
      <c r="J59" s="34"/>
    </row>
    <row r="60" spans="1:11" ht="200.1" customHeight="1"/>
    <row r="61" spans="1:11" ht="75.75" customHeight="1">
      <c r="B61" s="35"/>
    </row>
    <row r="62" spans="1:11" ht="120.75" customHeight="1"/>
    <row r="64" spans="1:11" ht="26.25">
      <c r="A64" s="313"/>
      <c r="B64" s="313"/>
      <c r="C64" s="313"/>
      <c r="D64" s="313"/>
      <c r="E64" s="313"/>
      <c r="F64" s="313"/>
      <c r="G64" s="313"/>
      <c r="H64" s="313"/>
      <c r="I64" s="313"/>
      <c r="J64" s="313"/>
      <c r="K64" s="313"/>
    </row>
    <row r="65" spans="1:1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13.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ht="12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2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12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12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12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12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12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12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12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2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12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1:11" ht="12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</row>
    <row r="81" spans="1:11" ht="12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12.7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12.7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12.7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ht="12.7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1:11" ht="12.7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12.7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12.7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2.7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12.7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2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ht="13.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</row>
    <row r="93" spans="1:1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</row>
    <row r="95" spans="1:11" ht="18">
      <c r="A95" s="310"/>
      <c r="B95" s="310"/>
      <c r="C95" s="310"/>
      <c r="D95" s="310"/>
      <c r="E95" s="310"/>
      <c r="F95" s="310"/>
      <c r="G95" s="310"/>
      <c r="H95" s="310"/>
      <c r="I95" s="310"/>
      <c r="J95" s="310"/>
      <c r="K95" s="310"/>
    </row>
  </sheetData>
  <sheetProtection selectLockedCells="1" selectUnlockedCells="1"/>
  <mergeCells count="133">
    <mergeCell ref="A95:K95"/>
    <mergeCell ref="I51:I53"/>
    <mergeCell ref="J51:J53"/>
    <mergeCell ref="B54:B55"/>
    <mergeCell ref="C54:C55"/>
    <mergeCell ref="B57:J57"/>
    <mergeCell ref="A64:K64"/>
    <mergeCell ref="B51:B53"/>
    <mergeCell ref="C51:C53"/>
    <mergeCell ref="E51:E53"/>
    <mergeCell ref="F51:F53"/>
    <mergeCell ref="G51:G53"/>
    <mergeCell ref="H51:H53"/>
    <mergeCell ref="E43:E44"/>
    <mergeCell ref="F43:F44"/>
    <mergeCell ref="G43:G44"/>
    <mergeCell ref="H43:H44"/>
    <mergeCell ref="I43:I44"/>
    <mergeCell ref="J43:J44"/>
    <mergeCell ref="I45:I47"/>
    <mergeCell ref="J45:J47"/>
    <mergeCell ref="B48:B50"/>
    <mergeCell ref="C48:C50"/>
    <mergeCell ref="E48:E50"/>
    <mergeCell ref="F48:F50"/>
    <mergeCell ref="G48:G50"/>
    <mergeCell ref="H48:H50"/>
    <mergeCell ref="I48:I50"/>
    <mergeCell ref="J48:J50"/>
    <mergeCell ref="B45:B47"/>
    <mergeCell ref="C45:C47"/>
    <mergeCell ref="E45:E47"/>
    <mergeCell ref="F45:F47"/>
    <mergeCell ref="G45:G47"/>
    <mergeCell ref="H45:H47"/>
    <mergeCell ref="B38:B40"/>
    <mergeCell ref="C38:C40"/>
    <mergeCell ref="E38:E40"/>
    <mergeCell ref="F38:F40"/>
    <mergeCell ref="G38:G40"/>
    <mergeCell ref="H38:H40"/>
    <mergeCell ref="I32:I33"/>
    <mergeCell ref="J32:J33"/>
    <mergeCell ref="B35:B37"/>
    <mergeCell ref="C35:C37"/>
    <mergeCell ref="E35:E37"/>
    <mergeCell ref="F35:F37"/>
    <mergeCell ref="G35:G37"/>
    <mergeCell ref="H35:H37"/>
    <mergeCell ref="I35:I37"/>
    <mergeCell ref="J35:J37"/>
    <mergeCell ref="B32:B33"/>
    <mergeCell ref="C32:C33"/>
    <mergeCell ref="E32:E33"/>
    <mergeCell ref="F32:F33"/>
    <mergeCell ref="G32:G33"/>
    <mergeCell ref="H32:H33"/>
    <mergeCell ref="I38:I40"/>
    <mergeCell ref="J38:J40"/>
    <mergeCell ref="I26:I28"/>
    <mergeCell ref="J26:J28"/>
    <mergeCell ref="B29:B31"/>
    <mergeCell ref="C29:C31"/>
    <mergeCell ref="E29:E31"/>
    <mergeCell ref="F29:F31"/>
    <mergeCell ref="G29:G31"/>
    <mergeCell ref="H29:H31"/>
    <mergeCell ref="I29:I31"/>
    <mergeCell ref="J29:J31"/>
    <mergeCell ref="B26:B28"/>
    <mergeCell ref="C26:C28"/>
    <mergeCell ref="E26:E28"/>
    <mergeCell ref="F26:F28"/>
    <mergeCell ref="G26:G28"/>
    <mergeCell ref="H26:H28"/>
    <mergeCell ref="I22:I23"/>
    <mergeCell ref="J22:J23"/>
    <mergeCell ref="B24:B25"/>
    <mergeCell ref="C24:C25"/>
    <mergeCell ref="E24:E25"/>
    <mergeCell ref="F24:F25"/>
    <mergeCell ref="G24:G25"/>
    <mergeCell ref="H24:H25"/>
    <mergeCell ref="I24:I25"/>
    <mergeCell ref="J24:J25"/>
    <mergeCell ref="B22:B23"/>
    <mergeCell ref="C22:C23"/>
    <mergeCell ref="E22:E23"/>
    <mergeCell ref="F22:F23"/>
    <mergeCell ref="G22:G23"/>
    <mergeCell ref="H22:H23"/>
    <mergeCell ref="G8:G9"/>
    <mergeCell ref="H8:H9"/>
    <mergeCell ref="I14:I19"/>
    <mergeCell ref="J14:J19"/>
    <mergeCell ref="B20:B21"/>
    <mergeCell ref="C20:C21"/>
    <mergeCell ref="E20:E21"/>
    <mergeCell ref="F20:F21"/>
    <mergeCell ref="G20:G21"/>
    <mergeCell ref="H20:H21"/>
    <mergeCell ref="I20:I21"/>
    <mergeCell ref="J20:J21"/>
    <mergeCell ref="B14:B19"/>
    <mergeCell ref="C14:C19"/>
    <mergeCell ref="E14:E19"/>
    <mergeCell ref="F14:F19"/>
    <mergeCell ref="G14:G19"/>
    <mergeCell ref="H14:H19"/>
    <mergeCell ref="A1:K1"/>
    <mergeCell ref="A2:K2"/>
    <mergeCell ref="A3:K3"/>
    <mergeCell ref="A4:K4"/>
    <mergeCell ref="B5:B6"/>
    <mergeCell ref="C5:D6"/>
    <mergeCell ref="E5:J5"/>
    <mergeCell ref="C43:C44"/>
    <mergeCell ref="B12:B13"/>
    <mergeCell ref="C12:C13"/>
    <mergeCell ref="I8:I9"/>
    <mergeCell ref="J8:J9"/>
    <mergeCell ref="B10:B11"/>
    <mergeCell ref="C10:C11"/>
    <mergeCell ref="E10:E11"/>
    <mergeCell ref="F10:F11"/>
    <mergeCell ref="G10:G11"/>
    <mergeCell ref="H10:H11"/>
    <mergeCell ref="I10:I11"/>
    <mergeCell ref="J10:J11"/>
    <mergeCell ref="B8:B9"/>
    <mergeCell ref="C8:C9"/>
    <mergeCell ref="E8:E9"/>
    <mergeCell ref="F8:F9"/>
  </mergeCells>
  <printOptions horizontalCentered="1" verticalCentered="1"/>
  <pageMargins left="0.39370078740157483" right="0.39370078740157483" top="0.39370078740157483" bottom="1.1811023622047245" header="0.31496062992125984" footer="0.51181102362204722"/>
  <pageSetup paperSize="9" scale="10" firstPageNumber="0" orientation="portrait" verticalDpi="300" r:id="rId1"/>
  <headerFooter scaleWithDoc="0" alignWithMargins="0">
    <oddFooter>&amp;R&amp;"Verdana,Normale"&amp;8MINISTERO DELLA SALUTE 
Direzione Generale per l'Igiene e la Sicurezza degli Alimenti e la Nutrizione
Pagina 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8"/>
  <sheetViews>
    <sheetView zoomScale="40" zoomScaleNormal="40" zoomScaleSheetLayoutView="59" workbookViewId="0">
      <selection activeCell="O1" sqref="O1:AC1048576"/>
    </sheetView>
  </sheetViews>
  <sheetFormatPr defaultRowHeight="12.75"/>
  <cols>
    <col min="1" max="1" width="14.42578125" style="32" customWidth="1"/>
    <col min="2" max="2" width="25.5703125" style="32" customWidth="1"/>
    <col min="3" max="13" width="25.7109375" style="32" customWidth="1"/>
    <col min="14" max="14" width="9.140625" style="32"/>
    <col min="15" max="29" width="0" style="32" hidden="1" customWidth="1"/>
    <col min="30" max="16384" width="9.140625" style="32"/>
  </cols>
  <sheetData>
    <row r="1" spans="2:26" ht="33.75">
      <c r="B1" s="314" t="s">
        <v>135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2:26" ht="52.5" customHeight="1">
      <c r="B2" s="315" t="s">
        <v>220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2:26" ht="33.75">
      <c r="B3" s="314" t="s">
        <v>143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2:26" ht="27" customHeight="1"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2:26" ht="27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2:26" ht="50.1" customHeight="1" thickBot="1">
      <c r="B6" s="316" t="s">
        <v>138</v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</row>
    <row r="7" spans="2:26" ht="91.5" customHeight="1" thickBot="1">
      <c r="B7" s="135" t="s">
        <v>170</v>
      </c>
      <c r="C7" s="136" t="s">
        <v>171</v>
      </c>
      <c r="D7" s="137" t="s">
        <v>194</v>
      </c>
      <c r="E7" s="138" t="s">
        <v>193</v>
      </c>
      <c r="F7" s="139" t="s">
        <v>174</v>
      </c>
      <c r="G7" s="140" t="s">
        <v>175</v>
      </c>
      <c r="H7" s="141" t="s">
        <v>176</v>
      </c>
      <c r="I7" s="142" t="s">
        <v>195</v>
      </c>
      <c r="J7" s="143" t="s">
        <v>178</v>
      </c>
      <c r="K7" s="144" t="s">
        <v>190</v>
      </c>
      <c r="L7" s="145" t="s">
        <v>188</v>
      </c>
      <c r="M7" s="146" t="s">
        <v>192</v>
      </c>
      <c r="O7" s="256" t="s">
        <v>170</v>
      </c>
      <c r="P7" s="257" t="s">
        <v>171</v>
      </c>
      <c r="Q7" s="257" t="s">
        <v>172</v>
      </c>
      <c r="R7" s="257" t="s">
        <v>173</v>
      </c>
      <c r="S7" s="257" t="s">
        <v>174</v>
      </c>
      <c r="T7" s="257" t="s">
        <v>175</v>
      </c>
      <c r="U7" s="257" t="s">
        <v>176</v>
      </c>
      <c r="V7" s="258" t="s">
        <v>177</v>
      </c>
      <c r="W7" s="258" t="s">
        <v>178</v>
      </c>
      <c r="X7" s="32" t="s">
        <v>190</v>
      </c>
      <c r="Y7" s="32" t="s">
        <v>191</v>
      </c>
      <c r="Z7" s="32" t="s">
        <v>192</v>
      </c>
    </row>
    <row r="8" spans="2:26" ht="35.1" customHeight="1" thickBot="1">
      <c r="B8" s="147" t="s">
        <v>134</v>
      </c>
      <c r="C8" s="148">
        <v>1</v>
      </c>
      <c r="D8" s="148">
        <v>4</v>
      </c>
      <c r="E8" s="148">
        <v>2</v>
      </c>
      <c r="F8" s="148">
        <v>1</v>
      </c>
      <c r="G8" s="148">
        <v>10</v>
      </c>
      <c r="H8" s="148">
        <v>2</v>
      </c>
      <c r="I8" s="149">
        <v>4</v>
      </c>
      <c r="J8" s="148">
        <v>4</v>
      </c>
      <c r="K8" s="148">
        <v>1</v>
      </c>
      <c r="L8" s="148">
        <v>2</v>
      </c>
      <c r="M8" s="148">
        <v>1</v>
      </c>
      <c r="O8" s="259" t="s">
        <v>134</v>
      </c>
      <c r="P8" s="260">
        <v>1</v>
      </c>
      <c r="Q8" s="261">
        <v>4</v>
      </c>
      <c r="R8" s="261">
        <v>2</v>
      </c>
      <c r="S8" s="262">
        <v>1</v>
      </c>
      <c r="T8" s="260">
        <v>10</v>
      </c>
      <c r="U8" s="262">
        <v>2</v>
      </c>
      <c r="V8" s="260">
        <v>4</v>
      </c>
      <c r="W8" s="263">
        <v>4</v>
      </c>
      <c r="X8" s="32">
        <v>1</v>
      </c>
      <c r="Y8" s="32">
        <v>2</v>
      </c>
      <c r="Z8" s="32">
        <v>1</v>
      </c>
    </row>
    <row r="9" spans="2:26" ht="35.1" customHeight="1" thickBot="1">
      <c r="B9" s="147" t="s">
        <v>48</v>
      </c>
      <c r="C9" s="148">
        <v>1</v>
      </c>
      <c r="D9" s="148">
        <v>4</v>
      </c>
      <c r="E9" s="148">
        <v>2</v>
      </c>
      <c r="F9" s="148">
        <v>2</v>
      </c>
      <c r="G9" s="148">
        <v>4</v>
      </c>
      <c r="H9" s="148">
        <v>2</v>
      </c>
      <c r="I9" s="149">
        <v>4</v>
      </c>
      <c r="J9" s="148">
        <v>4</v>
      </c>
      <c r="K9" s="148">
        <v>3</v>
      </c>
      <c r="L9" s="148">
        <v>1</v>
      </c>
      <c r="M9" s="148">
        <v>1</v>
      </c>
      <c r="O9" s="259" t="s">
        <v>48</v>
      </c>
      <c r="P9" s="260">
        <v>1</v>
      </c>
      <c r="Q9" s="261">
        <v>4</v>
      </c>
      <c r="R9" s="261">
        <v>2</v>
      </c>
      <c r="S9" s="262">
        <v>2</v>
      </c>
      <c r="T9" s="260">
        <v>4</v>
      </c>
      <c r="U9" s="262">
        <v>2</v>
      </c>
      <c r="V9" s="260">
        <v>4</v>
      </c>
      <c r="W9" s="263">
        <v>4</v>
      </c>
      <c r="X9" s="32">
        <v>3</v>
      </c>
      <c r="Y9" s="32">
        <v>1</v>
      </c>
      <c r="Z9" s="32">
        <v>1</v>
      </c>
    </row>
    <row r="10" spans="2:26" ht="35.1" customHeight="1" thickBot="1">
      <c r="B10" s="147" t="s">
        <v>130</v>
      </c>
      <c r="C10" s="148">
        <v>1</v>
      </c>
      <c r="D10" s="148">
        <v>4</v>
      </c>
      <c r="E10" s="148">
        <v>2</v>
      </c>
      <c r="F10" s="148">
        <v>1</v>
      </c>
      <c r="G10" s="148">
        <v>1</v>
      </c>
      <c r="H10" s="148">
        <v>1</v>
      </c>
      <c r="I10" s="149">
        <v>4</v>
      </c>
      <c r="J10" s="148">
        <v>1</v>
      </c>
      <c r="K10" s="148">
        <v>1</v>
      </c>
      <c r="L10" s="148">
        <v>1</v>
      </c>
      <c r="M10" s="148">
        <v>1</v>
      </c>
      <c r="O10" s="264" t="s">
        <v>130</v>
      </c>
      <c r="P10" s="260">
        <v>1</v>
      </c>
      <c r="Q10" s="261">
        <v>4</v>
      </c>
      <c r="R10" s="261">
        <v>2</v>
      </c>
      <c r="S10" s="262">
        <v>1</v>
      </c>
      <c r="T10" s="260">
        <v>1</v>
      </c>
      <c r="U10" s="262">
        <v>1</v>
      </c>
      <c r="V10" s="260">
        <v>4</v>
      </c>
      <c r="W10" s="263">
        <v>1</v>
      </c>
      <c r="X10" s="32">
        <v>1</v>
      </c>
      <c r="Y10" s="32">
        <v>1</v>
      </c>
      <c r="Z10" s="32">
        <v>1</v>
      </c>
    </row>
    <row r="11" spans="2:26" ht="35.1" customHeight="1" thickBot="1">
      <c r="B11" s="147" t="s">
        <v>54</v>
      </c>
      <c r="C11" s="148">
        <v>1</v>
      </c>
      <c r="D11" s="148">
        <v>4</v>
      </c>
      <c r="E11" s="148">
        <v>10</v>
      </c>
      <c r="F11" s="148">
        <v>6</v>
      </c>
      <c r="G11" s="148">
        <v>6</v>
      </c>
      <c r="H11" s="148">
        <v>3</v>
      </c>
      <c r="I11" s="149">
        <v>4</v>
      </c>
      <c r="J11" s="148">
        <v>9</v>
      </c>
      <c r="K11" s="148">
        <v>1</v>
      </c>
      <c r="L11" s="148">
        <v>20</v>
      </c>
      <c r="M11" s="148">
        <v>1</v>
      </c>
      <c r="O11" s="259" t="s">
        <v>54</v>
      </c>
      <c r="P11" s="260">
        <v>1</v>
      </c>
      <c r="Q11" s="261">
        <v>4</v>
      </c>
      <c r="R11" s="261">
        <v>10</v>
      </c>
      <c r="S11" s="262">
        <v>6</v>
      </c>
      <c r="T11" s="260">
        <v>6</v>
      </c>
      <c r="U11" s="262">
        <v>3</v>
      </c>
      <c r="V11" s="260">
        <v>4</v>
      </c>
      <c r="W11" s="263">
        <v>9</v>
      </c>
      <c r="X11" s="32">
        <v>1</v>
      </c>
      <c r="Y11" s="32">
        <v>20</v>
      </c>
      <c r="Z11" s="32">
        <v>1</v>
      </c>
    </row>
    <row r="12" spans="2:26" ht="35.1" customHeight="1" thickBot="1">
      <c r="B12" s="147" t="s">
        <v>56</v>
      </c>
      <c r="C12" s="148">
        <v>1</v>
      </c>
      <c r="D12" s="148">
        <v>4</v>
      </c>
      <c r="E12" s="148">
        <v>2</v>
      </c>
      <c r="F12" s="148">
        <v>16</v>
      </c>
      <c r="G12" s="148">
        <v>13</v>
      </c>
      <c r="H12" s="148">
        <v>4</v>
      </c>
      <c r="I12" s="149">
        <v>4</v>
      </c>
      <c r="J12" s="148">
        <v>8</v>
      </c>
      <c r="K12" s="148">
        <v>2</v>
      </c>
      <c r="L12" s="148">
        <v>5</v>
      </c>
      <c r="M12" s="148">
        <v>1</v>
      </c>
      <c r="O12" s="259" t="s">
        <v>56</v>
      </c>
      <c r="P12" s="260">
        <v>1</v>
      </c>
      <c r="Q12" s="261">
        <v>4</v>
      </c>
      <c r="R12" s="261">
        <v>2</v>
      </c>
      <c r="S12" s="262">
        <v>16</v>
      </c>
      <c r="T12" s="260">
        <v>13</v>
      </c>
      <c r="U12" s="262">
        <v>4</v>
      </c>
      <c r="V12" s="260">
        <v>4</v>
      </c>
      <c r="W12" s="263">
        <v>8</v>
      </c>
      <c r="X12" s="32">
        <v>2</v>
      </c>
      <c r="Y12" s="32">
        <v>5</v>
      </c>
      <c r="Z12" s="32">
        <v>1</v>
      </c>
    </row>
    <row r="13" spans="2:26" ht="35.1" customHeight="1" thickBot="1">
      <c r="B13" s="147" t="s">
        <v>133</v>
      </c>
      <c r="C13" s="148">
        <v>1</v>
      </c>
      <c r="D13" s="148">
        <v>4</v>
      </c>
      <c r="E13" s="148">
        <v>2</v>
      </c>
      <c r="F13" s="148">
        <v>1</v>
      </c>
      <c r="G13" s="148">
        <v>1</v>
      </c>
      <c r="H13" s="148">
        <v>5</v>
      </c>
      <c r="I13" s="149">
        <v>4</v>
      </c>
      <c r="J13" s="148">
        <v>1</v>
      </c>
      <c r="K13" s="148">
        <v>13</v>
      </c>
      <c r="L13" s="148">
        <v>1</v>
      </c>
      <c r="M13" s="148">
        <v>1</v>
      </c>
      <c r="O13" s="259" t="s">
        <v>133</v>
      </c>
      <c r="P13" s="260">
        <v>1</v>
      </c>
      <c r="Q13" s="261">
        <v>4</v>
      </c>
      <c r="R13" s="261">
        <v>2</v>
      </c>
      <c r="S13" s="262">
        <v>1</v>
      </c>
      <c r="T13" s="260">
        <v>1</v>
      </c>
      <c r="U13" s="262">
        <v>5</v>
      </c>
      <c r="V13" s="260">
        <v>4</v>
      </c>
      <c r="W13" s="263">
        <v>1</v>
      </c>
      <c r="X13" s="32">
        <v>13</v>
      </c>
      <c r="Y13" s="32">
        <v>1</v>
      </c>
      <c r="Z13" s="32">
        <v>1</v>
      </c>
    </row>
    <row r="14" spans="2:26" ht="35.1" customHeight="1" thickBot="1">
      <c r="B14" s="147" t="s">
        <v>132</v>
      </c>
      <c r="C14" s="148">
        <v>1</v>
      </c>
      <c r="D14" s="148">
        <v>4</v>
      </c>
      <c r="E14" s="148">
        <v>2</v>
      </c>
      <c r="F14" s="148">
        <v>1</v>
      </c>
      <c r="G14" s="148">
        <v>1</v>
      </c>
      <c r="H14" s="148">
        <v>1</v>
      </c>
      <c r="I14" s="149">
        <v>4</v>
      </c>
      <c r="J14" s="148">
        <v>1</v>
      </c>
      <c r="K14" s="148">
        <v>1</v>
      </c>
      <c r="L14" s="148">
        <v>1</v>
      </c>
      <c r="M14" s="148">
        <v>1</v>
      </c>
      <c r="O14" s="259" t="s">
        <v>132</v>
      </c>
      <c r="P14" s="260">
        <v>1</v>
      </c>
      <c r="Q14" s="261">
        <v>4</v>
      </c>
      <c r="R14" s="261">
        <v>2</v>
      </c>
      <c r="S14" s="262">
        <v>1</v>
      </c>
      <c r="T14" s="260">
        <v>1</v>
      </c>
      <c r="U14" s="262">
        <v>1</v>
      </c>
      <c r="V14" s="260">
        <v>4</v>
      </c>
      <c r="W14" s="263">
        <v>1</v>
      </c>
      <c r="X14" s="32">
        <v>1</v>
      </c>
      <c r="Y14" s="32">
        <v>1</v>
      </c>
      <c r="Z14" s="32">
        <v>1</v>
      </c>
    </row>
    <row r="15" spans="2:26" ht="35.1" customHeight="1" thickBot="1">
      <c r="B15" s="147" t="s">
        <v>64</v>
      </c>
      <c r="C15" s="148">
        <v>2</v>
      </c>
      <c r="D15" s="148">
        <v>4</v>
      </c>
      <c r="E15" s="148">
        <v>2</v>
      </c>
      <c r="F15" s="148">
        <v>3</v>
      </c>
      <c r="G15" s="148">
        <v>3</v>
      </c>
      <c r="H15" s="148">
        <v>3</v>
      </c>
      <c r="I15" s="149">
        <v>4</v>
      </c>
      <c r="J15" s="148">
        <v>5</v>
      </c>
      <c r="K15" s="148">
        <v>2</v>
      </c>
      <c r="L15" s="148">
        <v>2</v>
      </c>
      <c r="M15" s="148">
        <v>1</v>
      </c>
      <c r="O15" s="259" t="s">
        <v>64</v>
      </c>
      <c r="P15" s="260">
        <v>2</v>
      </c>
      <c r="Q15" s="261">
        <v>4</v>
      </c>
      <c r="R15" s="261">
        <v>2</v>
      </c>
      <c r="S15" s="262">
        <v>3</v>
      </c>
      <c r="T15" s="260">
        <v>3</v>
      </c>
      <c r="U15" s="262">
        <v>3</v>
      </c>
      <c r="V15" s="260">
        <v>4</v>
      </c>
      <c r="W15" s="263">
        <v>5</v>
      </c>
      <c r="X15" s="32">
        <v>2</v>
      </c>
      <c r="Y15" s="32">
        <v>2</v>
      </c>
      <c r="Z15" s="32">
        <v>1</v>
      </c>
    </row>
    <row r="16" spans="2:26" ht="35.1" customHeight="1" thickBot="1">
      <c r="B16" s="147" t="s">
        <v>67</v>
      </c>
      <c r="C16" s="148">
        <v>1</v>
      </c>
      <c r="D16" s="148">
        <v>4</v>
      </c>
      <c r="E16" s="148">
        <v>2</v>
      </c>
      <c r="F16" s="148">
        <v>1</v>
      </c>
      <c r="G16" s="148">
        <v>1</v>
      </c>
      <c r="H16" s="148">
        <v>1</v>
      </c>
      <c r="I16" s="149">
        <v>4</v>
      </c>
      <c r="J16" s="148">
        <v>1</v>
      </c>
      <c r="K16" s="148">
        <v>1</v>
      </c>
      <c r="L16" s="148">
        <v>1</v>
      </c>
      <c r="M16" s="148">
        <v>1</v>
      </c>
      <c r="O16" s="259" t="s">
        <v>67</v>
      </c>
      <c r="P16" s="260">
        <v>1</v>
      </c>
      <c r="Q16" s="261">
        <v>4</v>
      </c>
      <c r="R16" s="261">
        <v>2</v>
      </c>
      <c r="S16" s="262">
        <v>1</v>
      </c>
      <c r="T16" s="260">
        <v>1</v>
      </c>
      <c r="U16" s="262">
        <v>1</v>
      </c>
      <c r="V16" s="260">
        <v>4</v>
      </c>
      <c r="W16" s="263">
        <v>1</v>
      </c>
      <c r="X16" s="32">
        <v>1</v>
      </c>
      <c r="Y16" s="32">
        <v>1</v>
      </c>
      <c r="Z16" s="32">
        <v>1</v>
      </c>
    </row>
    <row r="17" spans="2:26" ht="35.1" customHeight="1" thickBot="1">
      <c r="B17" s="147" t="s">
        <v>72</v>
      </c>
      <c r="C17" s="148">
        <v>1</v>
      </c>
      <c r="D17" s="148">
        <v>4</v>
      </c>
      <c r="E17" s="148">
        <v>2</v>
      </c>
      <c r="F17" s="148">
        <v>1</v>
      </c>
      <c r="G17" s="148">
        <v>1</v>
      </c>
      <c r="H17" s="148">
        <v>11</v>
      </c>
      <c r="I17" s="149">
        <v>4</v>
      </c>
      <c r="J17" s="148">
        <v>1</v>
      </c>
      <c r="K17" s="148">
        <v>4</v>
      </c>
      <c r="L17" s="148">
        <v>1</v>
      </c>
      <c r="M17" s="148">
        <v>1</v>
      </c>
      <c r="O17" s="259" t="s">
        <v>72</v>
      </c>
      <c r="P17" s="260">
        <v>1</v>
      </c>
      <c r="Q17" s="261">
        <v>4</v>
      </c>
      <c r="R17" s="261">
        <v>2</v>
      </c>
      <c r="S17" s="262">
        <v>1</v>
      </c>
      <c r="T17" s="260">
        <v>1</v>
      </c>
      <c r="U17" s="262">
        <v>11</v>
      </c>
      <c r="V17" s="260">
        <v>4</v>
      </c>
      <c r="W17" s="263">
        <v>1</v>
      </c>
      <c r="X17" s="32">
        <v>4</v>
      </c>
      <c r="Y17" s="32">
        <v>1</v>
      </c>
      <c r="Z17" s="32">
        <v>1</v>
      </c>
    </row>
    <row r="18" spans="2:26" ht="35.1" customHeight="1" thickBot="1">
      <c r="B18" s="147" t="s">
        <v>75</v>
      </c>
      <c r="C18" s="148">
        <v>1</v>
      </c>
      <c r="D18" s="148">
        <v>4</v>
      </c>
      <c r="E18" s="148">
        <v>2</v>
      </c>
      <c r="F18" s="148">
        <v>1</v>
      </c>
      <c r="G18" s="148">
        <v>2</v>
      </c>
      <c r="H18" s="148">
        <v>1</v>
      </c>
      <c r="I18" s="149">
        <v>4</v>
      </c>
      <c r="J18" s="148">
        <v>1</v>
      </c>
      <c r="K18" s="148">
        <v>6</v>
      </c>
      <c r="L18" s="148">
        <v>1</v>
      </c>
      <c r="M18" s="148">
        <v>1</v>
      </c>
      <c r="O18" s="259" t="s">
        <v>75</v>
      </c>
      <c r="P18" s="260">
        <v>1</v>
      </c>
      <c r="Q18" s="261">
        <v>4</v>
      </c>
      <c r="R18" s="261">
        <v>2</v>
      </c>
      <c r="S18" s="262">
        <v>1</v>
      </c>
      <c r="T18" s="260">
        <v>2</v>
      </c>
      <c r="U18" s="262">
        <v>1</v>
      </c>
      <c r="V18" s="260">
        <v>4</v>
      </c>
      <c r="W18" s="263">
        <v>1</v>
      </c>
      <c r="X18" s="32">
        <v>6</v>
      </c>
      <c r="Y18" s="32">
        <v>1</v>
      </c>
      <c r="Z18" s="32">
        <v>1</v>
      </c>
    </row>
    <row r="19" spans="2:26" ht="35.1" customHeight="1" thickBot="1">
      <c r="B19" s="147" t="s">
        <v>179</v>
      </c>
      <c r="C19" s="148">
        <v>1</v>
      </c>
      <c r="D19" s="148">
        <v>2</v>
      </c>
      <c r="E19" s="148">
        <v>2</v>
      </c>
      <c r="F19" s="148">
        <v>1</v>
      </c>
      <c r="G19" s="148">
        <v>1</v>
      </c>
      <c r="H19" s="148">
        <v>1</v>
      </c>
      <c r="I19" s="149">
        <v>2</v>
      </c>
      <c r="J19" s="148">
        <v>1</v>
      </c>
      <c r="K19" s="148">
        <v>2</v>
      </c>
      <c r="L19" s="148">
        <v>2</v>
      </c>
      <c r="M19" s="148">
        <v>1</v>
      </c>
      <c r="O19" s="259" t="s">
        <v>179</v>
      </c>
      <c r="P19" s="260">
        <v>1</v>
      </c>
      <c r="Q19" s="261">
        <v>2</v>
      </c>
      <c r="R19" s="261">
        <v>2</v>
      </c>
      <c r="S19" s="262">
        <v>1</v>
      </c>
      <c r="T19" s="260">
        <v>1</v>
      </c>
      <c r="U19" s="262">
        <v>1</v>
      </c>
      <c r="V19" s="260">
        <v>2</v>
      </c>
      <c r="W19" s="263">
        <v>1</v>
      </c>
      <c r="X19" s="32">
        <v>2</v>
      </c>
      <c r="Y19" s="32">
        <v>2</v>
      </c>
      <c r="Z19" s="32">
        <v>1</v>
      </c>
    </row>
    <row r="20" spans="2:26" ht="35.1" customHeight="1" thickBot="1">
      <c r="B20" s="147" t="s">
        <v>79</v>
      </c>
      <c r="C20" s="148">
        <v>1</v>
      </c>
      <c r="D20" s="148">
        <v>4</v>
      </c>
      <c r="E20" s="148">
        <v>2</v>
      </c>
      <c r="F20" s="148">
        <v>1</v>
      </c>
      <c r="G20" s="148">
        <v>1</v>
      </c>
      <c r="H20" s="148">
        <v>1</v>
      </c>
      <c r="I20" s="149">
        <v>4</v>
      </c>
      <c r="J20" s="148">
        <v>2</v>
      </c>
      <c r="K20" s="148">
        <v>5</v>
      </c>
      <c r="L20" s="148">
        <v>1</v>
      </c>
      <c r="M20" s="148">
        <v>1</v>
      </c>
      <c r="O20" s="259" t="s">
        <v>79</v>
      </c>
      <c r="P20" s="260">
        <v>1</v>
      </c>
      <c r="Q20" s="261">
        <v>4</v>
      </c>
      <c r="R20" s="261">
        <v>2</v>
      </c>
      <c r="S20" s="262">
        <v>1</v>
      </c>
      <c r="T20" s="260">
        <v>1</v>
      </c>
      <c r="U20" s="262">
        <v>1</v>
      </c>
      <c r="V20" s="260">
        <v>4</v>
      </c>
      <c r="W20" s="263">
        <v>2</v>
      </c>
      <c r="X20" s="32">
        <v>5</v>
      </c>
      <c r="Y20" s="32">
        <v>1</v>
      </c>
      <c r="Z20" s="32">
        <v>1</v>
      </c>
    </row>
    <row r="21" spans="2:26" ht="35.1" customHeight="1" thickBot="1">
      <c r="B21" s="147" t="s">
        <v>80</v>
      </c>
      <c r="C21" s="148">
        <v>41</v>
      </c>
      <c r="D21" s="148">
        <v>4</v>
      </c>
      <c r="E21" s="148">
        <v>2</v>
      </c>
      <c r="F21" s="148">
        <v>17</v>
      </c>
      <c r="G21" s="148">
        <v>15</v>
      </c>
      <c r="H21" s="148">
        <v>6</v>
      </c>
      <c r="I21" s="149">
        <v>4</v>
      </c>
      <c r="J21" s="148">
        <v>19</v>
      </c>
      <c r="K21" s="148">
        <v>9</v>
      </c>
      <c r="L21" s="148">
        <v>24</v>
      </c>
      <c r="M21" s="148">
        <v>1</v>
      </c>
      <c r="O21" s="259" t="s">
        <v>80</v>
      </c>
      <c r="P21" s="260">
        <v>41</v>
      </c>
      <c r="Q21" s="261">
        <v>4</v>
      </c>
      <c r="R21" s="261">
        <v>2</v>
      </c>
      <c r="S21" s="262">
        <v>17</v>
      </c>
      <c r="T21" s="260">
        <v>15</v>
      </c>
      <c r="U21" s="262">
        <v>6</v>
      </c>
      <c r="V21" s="260">
        <v>4</v>
      </c>
      <c r="W21" s="263">
        <v>19</v>
      </c>
      <c r="X21" s="32">
        <v>9</v>
      </c>
      <c r="Y21" s="32">
        <v>24</v>
      </c>
      <c r="Z21" s="32">
        <v>1</v>
      </c>
    </row>
    <row r="22" spans="2:26" ht="35.1" customHeight="1" thickBot="1">
      <c r="B22" s="147" t="s">
        <v>82</v>
      </c>
      <c r="C22" s="148">
        <v>1</v>
      </c>
      <c r="D22" s="148">
        <v>4</v>
      </c>
      <c r="E22" s="148">
        <v>2</v>
      </c>
      <c r="F22" s="148">
        <v>2</v>
      </c>
      <c r="G22" s="148">
        <v>3</v>
      </c>
      <c r="H22" s="148">
        <v>4</v>
      </c>
      <c r="I22" s="149">
        <v>4</v>
      </c>
      <c r="J22" s="148">
        <v>4</v>
      </c>
      <c r="K22" s="148">
        <v>1</v>
      </c>
      <c r="L22" s="148">
        <v>1</v>
      </c>
      <c r="M22" s="148">
        <v>1</v>
      </c>
      <c r="O22" s="259" t="s">
        <v>82</v>
      </c>
      <c r="P22" s="260">
        <v>1</v>
      </c>
      <c r="Q22" s="265">
        <v>4</v>
      </c>
      <c r="R22" s="266">
        <v>2</v>
      </c>
      <c r="S22" s="262">
        <v>2</v>
      </c>
      <c r="T22" s="260">
        <v>3</v>
      </c>
      <c r="U22" s="262">
        <v>4</v>
      </c>
      <c r="V22" s="260">
        <v>4</v>
      </c>
      <c r="W22" s="263">
        <v>4</v>
      </c>
      <c r="X22" s="32">
        <v>1</v>
      </c>
      <c r="Y22" s="32">
        <v>1</v>
      </c>
      <c r="Z22" s="32">
        <v>1</v>
      </c>
    </row>
    <row r="23" spans="2:26" ht="35.1" customHeight="1" thickBot="1">
      <c r="B23" s="147" t="s">
        <v>84</v>
      </c>
      <c r="C23" s="148">
        <v>23</v>
      </c>
      <c r="D23" s="148">
        <v>4</v>
      </c>
      <c r="E23" s="148">
        <v>20</v>
      </c>
      <c r="F23" s="148">
        <v>17</v>
      </c>
      <c r="G23" s="148">
        <v>8</v>
      </c>
      <c r="H23" s="148">
        <v>22</v>
      </c>
      <c r="I23" s="149">
        <v>4</v>
      </c>
      <c r="J23" s="148">
        <v>10</v>
      </c>
      <c r="K23" s="148">
        <v>7</v>
      </c>
      <c r="L23" s="148">
        <v>7</v>
      </c>
      <c r="M23" s="148">
        <v>1</v>
      </c>
      <c r="O23" s="259" t="s">
        <v>84</v>
      </c>
      <c r="P23" s="260">
        <v>23</v>
      </c>
      <c r="Q23" s="261">
        <v>4</v>
      </c>
      <c r="R23" s="261">
        <v>20</v>
      </c>
      <c r="S23" s="262">
        <v>17</v>
      </c>
      <c r="T23" s="260">
        <v>8</v>
      </c>
      <c r="U23" s="262">
        <v>22</v>
      </c>
      <c r="V23" s="260">
        <v>4</v>
      </c>
      <c r="W23" s="263">
        <v>10</v>
      </c>
      <c r="X23" s="32">
        <v>7</v>
      </c>
      <c r="Y23" s="32">
        <v>7</v>
      </c>
      <c r="Z23" s="32">
        <v>1</v>
      </c>
    </row>
    <row r="24" spans="2:26" ht="35.1" customHeight="1" thickBot="1">
      <c r="B24" s="147" t="s">
        <v>86</v>
      </c>
      <c r="C24" s="148">
        <v>1</v>
      </c>
      <c r="D24" s="148">
        <v>4</v>
      </c>
      <c r="E24" s="148">
        <v>2</v>
      </c>
      <c r="F24" s="148">
        <v>1</v>
      </c>
      <c r="G24" s="148">
        <v>1</v>
      </c>
      <c r="H24" s="148">
        <v>2</v>
      </c>
      <c r="I24" s="149">
        <v>4</v>
      </c>
      <c r="J24" s="148">
        <v>1</v>
      </c>
      <c r="K24" s="148">
        <v>4</v>
      </c>
      <c r="L24" s="148">
        <v>2</v>
      </c>
      <c r="M24" s="148">
        <v>1</v>
      </c>
      <c r="O24" s="259" t="s">
        <v>86</v>
      </c>
      <c r="P24" s="260">
        <v>1</v>
      </c>
      <c r="Q24" s="261">
        <v>4</v>
      </c>
      <c r="R24" s="261">
        <v>2</v>
      </c>
      <c r="S24" s="262">
        <v>1</v>
      </c>
      <c r="T24" s="260">
        <v>1</v>
      </c>
      <c r="U24" s="262">
        <v>2</v>
      </c>
      <c r="V24" s="260">
        <v>4</v>
      </c>
      <c r="W24" s="263">
        <v>1</v>
      </c>
      <c r="X24" s="32">
        <v>4</v>
      </c>
      <c r="Y24" s="32">
        <v>2</v>
      </c>
      <c r="Z24" s="32">
        <v>1</v>
      </c>
    </row>
    <row r="25" spans="2:26" ht="35.1" customHeight="1" thickBot="1">
      <c r="B25" s="147" t="s">
        <v>131</v>
      </c>
      <c r="C25" s="148">
        <v>1</v>
      </c>
      <c r="D25" s="148">
        <v>4</v>
      </c>
      <c r="E25" s="148">
        <v>2</v>
      </c>
      <c r="F25" s="148">
        <v>1</v>
      </c>
      <c r="G25" s="148">
        <v>1</v>
      </c>
      <c r="H25" s="148">
        <v>1</v>
      </c>
      <c r="I25" s="149">
        <v>4</v>
      </c>
      <c r="J25" s="148">
        <v>1</v>
      </c>
      <c r="K25" s="148">
        <v>1</v>
      </c>
      <c r="L25" s="148">
        <v>1</v>
      </c>
      <c r="M25" s="148">
        <v>1</v>
      </c>
      <c r="O25" s="264" t="s">
        <v>131</v>
      </c>
      <c r="P25" s="260">
        <v>1</v>
      </c>
      <c r="Q25" s="261">
        <v>4</v>
      </c>
      <c r="R25" s="261">
        <v>2</v>
      </c>
      <c r="S25" s="262">
        <v>1</v>
      </c>
      <c r="T25" s="260">
        <v>1</v>
      </c>
      <c r="U25" s="262">
        <v>1</v>
      </c>
      <c r="V25" s="260">
        <v>4</v>
      </c>
      <c r="W25" s="263">
        <v>1</v>
      </c>
      <c r="X25" s="32">
        <v>1</v>
      </c>
      <c r="Y25" s="32">
        <v>1</v>
      </c>
      <c r="Z25" s="32">
        <v>1</v>
      </c>
    </row>
    <row r="26" spans="2:26" ht="35.1" customHeight="1" thickBot="1">
      <c r="B26" s="147" t="s">
        <v>89</v>
      </c>
      <c r="C26" s="148">
        <v>1</v>
      </c>
      <c r="D26" s="148">
        <v>4</v>
      </c>
      <c r="E26" s="148">
        <v>2</v>
      </c>
      <c r="F26" s="148">
        <v>1</v>
      </c>
      <c r="G26" s="148">
        <v>1</v>
      </c>
      <c r="H26" s="148">
        <v>2</v>
      </c>
      <c r="I26" s="149">
        <v>4</v>
      </c>
      <c r="J26" s="148">
        <v>1</v>
      </c>
      <c r="K26" s="148">
        <v>3</v>
      </c>
      <c r="L26" s="148">
        <v>1</v>
      </c>
      <c r="M26" s="148">
        <v>1</v>
      </c>
      <c r="O26" s="259" t="s">
        <v>89</v>
      </c>
      <c r="P26" s="260">
        <v>1</v>
      </c>
      <c r="Q26" s="261">
        <v>4</v>
      </c>
      <c r="R26" s="261">
        <v>2</v>
      </c>
      <c r="S26" s="262">
        <v>1</v>
      </c>
      <c r="T26" s="260">
        <v>1</v>
      </c>
      <c r="U26" s="262">
        <v>2</v>
      </c>
      <c r="V26" s="260">
        <v>4</v>
      </c>
      <c r="W26" s="263">
        <v>1</v>
      </c>
      <c r="X26" s="32">
        <v>3</v>
      </c>
      <c r="Y26" s="32">
        <v>1</v>
      </c>
      <c r="Z26" s="32">
        <v>1</v>
      </c>
    </row>
    <row r="27" spans="2:26" ht="35.1" customHeight="1" thickBot="1">
      <c r="B27" s="147" t="s">
        <v>90</v>
      </c>
      <c r="C27" s="148">
        <v>1</v>
      </c>
      <c r="D27" s="148">
        <v>4</v>
      </c>
      <c r="E27" s="148">
        <v>2</v>
      </c>
      <c r="F27" s="148">
        <v>1</v>
      </c>
      <c r="G27" s="148">
        <v>1</v>
      </c>
      <c r="H27" s="148">
        <v>1</v>
      </c>
      <c r="I27" s="149">
        <v>4</v>
      </c>
      <c r="J27" s="148">
        <v>1</v>
      </c>
      <c r="K27" s="148">
        <v>1</v>
      </c>
      <c r="L27" s="148">
        <v>1</v>
      </c>
      <c r="M27" s="148">
        <v>1</v>
      </c>
      <c r="O27" s="259" t="s">
        <v>90</v>
      </c>
      <c r="P27" s="260">
        <v>1</v>
      </c>
      <c r="Q27" s="261">
        <v>4</v>
      </c>
      <c r="R27" s="261">
        <v>2</v>
      </c>
      <c r="S27" s="262">
        <v>1</v>
      </c>
      <c r="T27" s="260">
        <v>1</v>
      </c>
      <c r="U27" s="262">
        <v>1</v>
      </c>
      <c r="V27" s="260">
        <v>4</v>
      </c>
      <c r="W27" s="263">
        <v>1</v>
      </c>
      <c r="X27" s="32">
        <v>1</v>
      </c>
      <c r="Y27" s="32">
        <v>1</v>
      </c>
      <c r="Z27" s="32">
        <v>1</v>
      </c>
    </row>
    <row r="28" spans="2:26" ht="35.1" customHeight="1" thickBot="1">
      <c r="B28" s="147" t="s">
        <v>92</v>
      </c>
      <c r="C28" s="148">
        <v>1</v>
      </c>
      <c r="D28" s="148">
        <v>4</v>
      </c>
      <c r="E28" s="148">
        <v>2</v>
      </c>
      <c r="F28" s="148">
        <v>1</v>
      </c>
      <c r="G28" s="148">
        <v>1</v>
      </c>
      <c r="H28" s="148">
        <v>3</v>
      </c>
      <c r="I28" s="149">
        <v>4</v>
      </c>
      <c r="J28" s="148">
        <v>1</v>
      </c>
      <c r="K28" s="148">
        <v>6</v>
      </c>
      <c r="L28" s="148">
        <v>1</v>
      </c>
      <c r="M28" s="148">
        <v>1</v>
      </c>
      <c r="O28" s="259" t="s">
        <v>92</v>
      </c>
      <c r="P28" s="260">
        <v>1</v>
      </c>
      <c r="Q28" s="261">
        <v>4</v>
      </c>
      <c r="R28" s="261">
        <v>2</v>
      </c>
      <c r="S28" s="262">
        <v>1</v>
      </c>
      <c r="T28" s="260">
        <v>1</v>
      </c>
      <c r="U28" s="262">
        <v>3</v>
      </c>
      <c r="V28" s="260">
        <v>4</v>
      </c>
      <c r="W28" s="263">
        <v>1</v>
      </c>
      <c r="X28" s="32">
        <v>6</v>
      </c>
      <c r="Y28" s="32">
        <v>1</v>
      </c>
      <c r="Z28" s="32">
        <v>1</v>
      </c>
    </row>
  </sheetData>
  <mergeCells count="5">
    <mergeCell ref="B1:M1"/>
    <mergeCell ref="B2:M2"/>
    <mergeCell ref="B3:M3"/>
    <mergeCell ref="B4:M4"/>
    <mergeCell ref="B6:M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7" orientation="landscape" r:id="rId1"/>
  <headerFooter scaleWithDoc="0" alignWithMargins="0">
    <oddFooter>&amp;R&amp;"Verdana,Normale"&amp;8MINISTERO DELLA SALUTE 
Direzione Generale per l'Igiene e la Sicurezza&amp;"Arial,Normale"&amp;12 &amp;"Verdana,Normale"&amp;8degli Alimenti e la Nutrizione
72</oddFooter>
  </headerFooter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9"/>
  <sheetViews>
    <sheetView zoomScale="55" zoomScaleNormal="55" workbookViewId="0">
      <selection activeCell="N1" sqref="N1:Q1048576"/>
    </sheetView>
  </sheetViews>
  <sheetFormatPr defaultRowHeight="12.75"/>
  <cols>
    <col min="1" max="1" width="9.140625" style="32"/>
    <col min="2" max="5" width="10.7109375" style="32" customWidth="1"/>
    <col min="6" max="6" width="27.7109375" style="32" customWidth="1"/>
    <col min="7" max="8" width="50.7109375" style="32" customWidth="1"/>
    <col min="9" max="12" width="10.7109375" style="32" customWidth="1"/>
    <col min="13" max="13" width="9.140625" style="32"/>
    <col min="14" max="17" width="0" style="32" hidden="1" customWidth="1"/>
    <col min="18" max="16384" width="9.140625" style="32"/>
  </cols>
  <sheetData>
    <row r="1" spans="2:24" ht="33.75">
      <c r="B1" s="314" t="s">
        <v>219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2:24" ht="52.5" customHeight="1">
      <c r="B2" s="315" t="s">
        <v>221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2:24" ht="33.75">
      <c r="B3" s="314" t="s">
        <v>143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</row>
    <row r="4" spans="2:24" ht="27" customHeight="1"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2:24" ht="41.25" customHeight="1" thickBot="1">
      <c r="B5" s="318" t="s">
        <v>137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</row>
    <row r="6" spans="2:24" ht="91.5" customHeight="1" thickBot="1">
      <c r="F6" s="135" t="s">
        <v>129</v>
      </c>
      <c r="G6" s="150" t="s">
        <v>180</v>
      </c>
      <c r="H6" s="151" t="s">
        <v>181</v>
      </c>
      <c r="P6" s="285" t="s">
        <v>128</v>
      </c>
      <c r="Q6" s="285"/>
      <c r="R6" s="285"/>
      <c r="S6" s="285"/>
      <c r="T6" s="285"/>
      <c r="U6" s="285"/>
      <c r="V6" s="285"/>
      <c r="W6" s="285"/>
      <c r="X6" s="285"/>
    </row>
    <row r="7" spans="2:24" ht="39.950000000000003" customHeight="1" thickBot="1">
      <c r="F7" s="147" t="s">
        <v>79</v>
      </c>
      <c r="G7" s="152">
        <v>4</v>
      </c>
      <c r="H7" s="152">
        <v>4</v>
      </c>
      <c r="P7" s="317"/>
      <c r="Q7" s="317"/>
      <c r="R7" s="317"/>
      <c r="S7" s="317"/>
      <c r="T7" s="317"/>
      <c r="U7" s="317"/>
      <c r="V7" s="317"/>
      <c r="W7" s="317"/>
      <c r="X7" s="317"/>
    </row>
    <row r="8" spans="2:24" ht="39.950000000000003" customHeight="1" thickBot="1">
      <c r="F8" s="147" t="s">
        <v>182</v>
      </c>
      <c r="G8" s="152">
        <v>2</v>
      </c>
      <c r="H8" s="152">
        <v>2</v>
      </c>
      <c r="O8" s="256" t="s">
        <v>129</v>
      </c>
      <c r="P8" s="267" t="s">
        <v>180</v>
      </c>
      <c r="Q8" s="267" t="s">
        <v>181</v>
      </c>
    </row>
    <row r="9" spans="2:24" ht="39.950000000000003" customHeight="1" thickBot="1">
      <c r="F9" s="147" t="s">
        <v>72</v>
      </c>
      <c r="G9" s="152">
        <v>4</v>
      </c>
      <c r="H9" s="152">
        <v>4</v>
      </c>
      <c r="O9" s="266" t="s">
        <v>79</v>
      </c>
      <c r="P9" s="268">
        <v>4</v>
      </c>
      <c r="Q9" s="268">
        <v>4</v>
      </c>
    </row>
    <row r="10" spans="2:24" ht="39.950000000000003" customHeight="1" thickBot="1">
      <c r="F10" s="147" t="s">
        <v>67</v>
      </c>
      <c r="G10" s="152">
        <v>4</v>
      </c>
      <c r="H10" s="152">
        <v>4</v>
      </c>
      <c r="O10" s="266" t="s">
        <v>182</v>
      </c>
      <c r="P10" s="268">
        <v>2</v>
      </c>
      <c r="Q10" s="268">
        <v>2</v>
      </c>
    </row>
    <row r="11" spans="2:24" ht="39.950000000000003" customHeight="1" thickBot="1">
      <c r="F11" s="147" t="s">
        <v>183</v>
      </c>
      <c r="G11" s="152">
        <v>2</v>
      </c>
      <c r="H11" s="152">
        <v>2</v>
      </c>
      <c r="O11" s="266" t="s">
        <v>72</v>
      </c>
      <c r="P11" s="268">
        <v>4</v>
      </c>
      <c r="Q11" s="268">
        <v>4</v>
      </c>
    </row>
    <row r="12" spans="2:24" ht="39.950000000000003" customHeight="1" thickBot="1">
      <c r="F12" s="147" t="s">
        <v>184</v>
      </c>
      <c r="G12" s="152">
        <v>2</v>
      </c>
      <c r="H12" s="152">
        <v>2</v>
      </c>
      <c r="O12" s="266" t="s">
        <v>67</v>
      </c>
      <c r="P12" s="268">
        <v>4</v>
      </c>
      <c r="Q12" s="268">
        <v>4</v>
      </c>
    </row>
    <row r="13" spans="2:24" ht="39.950000000000003" customHeight="1" thickBot="1">
      <c r="F13" s="147" t="s">
        <v>92</v>
      </c>
      <c r="G13" s="152">
        <v>4</v>
      </c>
      <c r="H13" s="152">
        <v>4</v>
      </c>
      <c r="O13" s="266" t="s">
        <v>183</v>
      </c>
      <c r="P13" s="268">
        <v>2</v>
      </c>
      <c r="Q13" s="268">
        <v>2</v>
      </c>
    </row>
    <row r="14" spans="2:24" ht="39.950000000000003" customHeight="1" thickBot="1">
      <c r="F14" s="147" t="s">
        <v>132</v>
      </c>
      <c r="G14" s="152">
        <v>4</v>
      </c>
      <c r="H14" s="152">
        <v>4</v>
      </c>
      <c r="O14" s="266" t="s">
        <v>184</v>
      </c>
      <c r="P14" s="268">
        <v>2</v>
      </c>
      <c r="Q14" s="268">
        <v>2</v>
      </c>
    </row>
    <row r="15" spans="2:24" ht="39.950000000000003" customHeight="1" thickBot="1">
      <c r="F15" s="147" t="s">
        <v>133</v>
      </c>
      <c r="G15" s="152">
        <v>4</v>
      </c>
      <c r="H15" s="152">
        <v>4</v>
      </c>
      <c r="O15" s="266" t="s">
        <v>92</v>
      </c>
      <c r="P15" s="268">
        <v>4</v>
      </c>
      <c r="Q15" s="268">
        <v>4</v>
      </c>
    </row>
    <row r="16" spans="2:24" ht="39.950000000000003" customHeight="1" thickBot="1">
      <c r="F16" s="147" t="s">
        <v>86</v>
      </c>
      <c r="G16" s="152">
        <v>4</v>
      </c>
      <c r="H16" s="152">
        <v>4</v>
      </c>
      <c r="O16" s="266" t="s">
        <v>132</v>
      </c>
      <c r="P16" s="268">
        <v>4</v>
      </c>
      <c r="Q16" s="268">
        <v>4</v>
      </c>
    </row>
    <row r="17" spans="6:17" ht="39.950000000000003" customHeight="1" thickBot="1">
      <c r="F17" s="147" t="s">
        <v>89</v>
      </c>
      <c r="G17" s="152">
        <v>4</v>
      </c>
      <c r="H17" s="152">
        <v>4</v>
      </c>
      <c r="O17" s="266" t="s">
        <v>133</v>
      </c>
      <c r="P17" s="268">
        <v>4</v>
      </c>
      <c r="Q17" s="268">
        <v>4</v>
      </c>
    </row>
    <row r="18" spans="6:17" ht="39.950000000000003" customHeight="1" thickBot="1">
      <c r="F18" s="147" t="s">
        <v>75</v>
      </c>
      <c r="G18" s="152">
        <v>4</v>
      </c>
      <c r="H18" s="152">
        <v>4</v>
      </c>
      <c r="O18" s="266" t="s">
        <v>86</v>
      </c>
      <c r="P18" s="268">
        <v>4</v>
      </c>
      <c r="Q18" s="268">
        <v>4</v>
      </c>
    </row>
    <row r="19" spans="6:17" ht="39.950000000000003" customHeight="1" thickBot="1">
      <c r="F19" s="147" t="s">
        <v>64</v>
      </c>
      <c r="G19" s="152">
        <v>4</v>
      </c>
      <c r="H19" s="152">
        <v>4</v>
      </c>
      <c r="O19" s="266" t="s">
        <v>89</v>
      </c>
      <c r="P19" s="268">
        <v>4</v>
      </c>
      <c r="Q19" s="268">
        <v>4</v>
      </c>
    </row>
    <row r="20" spans="6:17" ht="39.950000000000003" customHeight="1" thickBot="1">
      <c r="F20" s="147" t="s">
        <v>134</v>
      </c>
      <c r="G20" s="152">
        <v>4</v>
      </c>
      <c r="H20" s="152">
        <v>4</v>
      </c>
      <c r="O20" s="266" t="s">
        <v>75</v>
      </c>
      <c r="P20" s="268">
        <v>4</v>
      </c>
      <c r="Q20" s="268">
        <v>4</v>
      </c>
    </row>
    <row r="21" spans="6:17" ht="39.950000000000003" customHeight="1" thickBot="1">
      <c r="F21" s="147" t="s">
        <v>185</v>
      </c>
      <c r="G21" s="152">
        <v>2</v>
      </c>
      <c r="H21" s="152">
        <v>2</v>
      </c>
      <c r="O21" s="266" t="s">
        <v>64</v>
      </c>
      <c r="P21" s="268">
        <v>4</v>
      </c>
      <c r="Q21" s="268">
        <v>4</v>
      </c>
    </row>
    <row r="22" spans="6:17" ht="39.950000000000003" customHeight="1" thickBot="1">
      <c r="F22" s="147" t="s">
        <v>56</v>
      </c>
      <c r="G22" s="152">
        <v>4</v>
      </c>
      <c r="H22" s="152">
        <v>4</v>
      </c>
      <c r="O22" s="266" t="s">
        <v>134</v>
      </c>
      <c r="P22" s="268">
        <v>4</v>
      </c>
      <c r="Q22" s="268">
        <v>4</v>
      </c>
    </row>
    <row r="23" spans="6:17" ht="39.950000000000003" customHeight="1" thickBot="1">
      <c r="F23" s="147" t="s">
        <v>80</v>
      </c>
      <c r="G23" s="152">
        <v>4</v>
      </c>
      <c r="H23" s="152">
        <v>4</v>
      </c>
      <c r="O23" s="266" t="s">
        <v>185</v>
      </c>
      <c r="P23" s="268">
        <v>2</v>
      </c>
      <c r="Q23" s="268">
        <v>2</v>
      </c>
    </row>
    <row r="24" spans="6:17" ht="39.950000000000003" customHeight="1" thickBot="1">
      <c r="F24" s="147" t="s">
        <v>48</v>
      </c>
      <c r="G24" s="152">
        <v>4</v>
      </c>
      <c r="H24" s="152">
        <v>4</v>
      </c>
      <c r="O24" s="266" t="s">
        <v>56</v>
      </c>
      <c r="P24" s="268">
        <v>4</v>
      </c>
      <c r="Q24" s="268">
        <v>4</v>
      </c>
    </row>
    <row r="25" spans="6:17" ht="39.950000000000003" customHeight="1" thickBot="1">
      <c r="F25" s="147" t="s">
        <v>54</v>
      </c>
      <c r="G25" s="152">
        <v>4</v>
      </c>
      <c r="H25" s="152">
        <v>4</v>
      </c>
      <c r="O25" s="266" t="s">
        <v>80</v>
      </c>
      <c r="P25" s="268">
        <v>4</v>
      </c>
      <c r="Q25" s="268">
        <v>4</v>
      </c>
    </row>
    <row r="26" spans="6:17" ht="39.950000000000003" customHeight="1" thickBot="1">
      <c r="F26" s="147" t="s">
        <v>84</v>
      </c>
      <c r="G26" s="152">
        <v>4</v>
      </c>
      <c r="H26" s="152">
        <v>4</v>
      </c>
      <c r="O26" s="266" t="s">
        <v>48</v>
      </c>
      <c r="P26" s="268">
        <v>4</v>
      </c>
      <c r="Q26" s="268">
        <v>4</v>
      </c>
    </row>
    <row r="27" spans="6:17" ht="39.950000000000003" customHeight="1" thickBot="1">
      <c r="F27" s="147" t="s">
        <v>82</v>
      </c>
      <c r="G27" s="152">
        <v>4</v>
      </c>
      <c r="H27" s="152">
        <v>4</v>
      </c>
      <c r="O27" s="266" t="s">
        <v>54</v>
      </c>
      <c r="P27" s="268">
        <v>4</v>
      </c>
      <c r="Q27" s="268">
        <v>4</v>
      </c>
    </row>
    <row r="28" spans="6:17" ht="13.5" thickBot="1">
      <c r="O28" s="266" t="s">
        <v>84</v>
      </c>
      <c r="P28" s="268">
        <v>4</v>
      </c>
      <c r="Q28" s="268">
        <v>4</v>
      </c>
    </row>
    <row r="29" spans="6:17" ht="13.5" thickBot="1">
      <c r="O29" s="266" t="s">
        <v>82</v>
      </c>
      <c r="P29" s="268">
        <v>4</v>
      </c>
      <c r="Q29" s="268">
        <v>4</v>
      </c>
    </row>
  </sheetData>
  <mergeCells count="7">
    <mergeCell ref="P7:X7"/>
    <mergeCell ref="B1:L1"/>
    <mergeCell ref="B2:L2"/>
    <mergeCell ref="B3:L3"/>
    <mergeCell ref="B4:L4"/>
    <mergeCell ref="B5:L5"/>
    <mergeCell ref="P6:X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  <headerFooter scaleWithDoc="0" alignWithMargins="0">
    <oddFooter>&amp;R&amp;8MINISTERO DELLA SALUTE 
Direzione Generale per l'Igiene e la Sicurezza degli Alimenti e la Nutrizione
73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7"/>
  <sheetViews>
    <sheetView zoomScale="85" zoomScaleNormal="85" zoomScaleSheetLayoutView="70" workbookViewId="0"/>
  </sheetViews>
  <sheetFormatPr defaultRowHeight="12.75"/>
  <cols>
    <col min="1" max="1" width="12.7109375" style="32" customWidth="1"/>
    <col min="2" max="2" width="37" style="32" customWidth="1"/>
    <col min="3" max="3" width="14.85546875" style="32" customWidth="1"/>
    <col min="4" max="4" width="18" style="32" customWidth="1"/>
    <col min="5" max="5" width="21" style="32" customWidth="1"/>
    <col min="6" max="6" width="23.42578125" style="32" customWidth="1"/>
    <col min="7" max="7" width="20.28515625" style="32" customWidth="1"/>
    <col min="8" max="8" width="20.7109375" style="32" customWidth="1"/>
    <col min="9" max="9" width="18.140625" style="32" customWidth="1"/>
    <col min="10" max="10" width="12.7109375" style="32" customWidth="1"/>
    <col min="11" max="14" width="9.140625" style="32"/>
    <col min="15" max="15" width="31.28515625" style="32" customWidth="1"/>
    <col min="16" max="16" width="19" style="32" customWidth="1"/>
    <col min="17" max="20" width="23.28515625" style="32" customWidth="1"/>
    <col min="21" max="21" width="21.7109375" style="32" customWidth="1"/>
    <col min="22" max="16384" width="9.140625" style="32"/>
  </cols>
  <sheetData>
    <row r="1" spans="2:21" ht="30.75" customHeight="1">
      <c r="B1" s="320" t="s">
        <v>141</v>
      </c>
      <c r="C1" s="320"/>
      <c r="D1" s="320"/>
      <c r="E1" s="320"/>
      <c r="F1" s="320"/>
      <c r="G1" s="320"/>
      <c r="H1" s="320"/>
      <c r="I1" s="320"/>
      <c r="J1" s="92"/>
    </row>
    <row r="2" spans="2:21" ht="26.25">
      <c r="B2" s="320" t="s">
        <v>143</v>
      </c>
      <c r="C2" s="320"/>
      <c r="D2" s="320"/>
      <c r="E2" s="320"/>
      <c r="F2" s="320"/>
      <c r="G2" s="320"/>
      <c r="H2" s="320"/>
      <c r="I2" s="320"/>
    </row>
    <row r="3" spans="2:21" ht="26.25">
      <c r="B3" s="320" t="s">
        <v>126</v>
      </c>
      <c r="C3" s="320"/>
      <c r="D3" s="320"/>
      <c r="E3" s="320"/>
      <c r="F3" s="320"/>
      <c r="G3" s="320"/>
      <c r="H3" s="320"/>
      <c r="I3" s="320"/>
    </row>
    <row r="4" spans="2:21" ht="26.25">
      <c r="B4" s="37"/>
      <c r="C4" s="37"/>
      <c r="D4" s="37"/>
      <c r="E4" s="37"/>
      <c r="F4" s="37"/>
      <c r="G4" s="37"/>
      <c r="H4" s="37"/>
      <c r="I4" s="37"/>
    </row>
    <row r="5" spans="2:21" ht="22.5">
      <c r="B5" s="321" t="s">
        <v>136</v>
      </c>
      <c r="C5" s="321"/>
      <c r="D5" s="321"/>
      <c r="E5" s="321"/>
      <c r="F5" s="321"/>
      <c r="G5" s="321"/>
      <c r="H5" s="321"/>
      <c r="I5" s="321"/>
    </row>
    <row r="6" spans="2:21" ht="21" customHeight="1" thickBot="1">
      <c r="C6" s="93"/>
      <c r="D6" s="93"/>
      <c r="E6" s="93"/>
      <c r="F6" s="93"/>
      <c r="G6" s="93"/>
      <c r="H6" s="93"/>
      <c r="I6" s="93"/>
    </row>
    <row r="7" spans="2:21" ht="21" customHeight="1" thickTop="1" thickBot="1">
      <c r="B7" s="322" t="s">
        <v>0</v>
      </c>
      <c r="C7" s="323" t="s">
        <v>1</v>
      </c>
      <c r="D7" s="324" t="s">
        <v>2</v>
      </c>
      <c r="E7" s="324"/>
      <c r="F7" s="324"/>
      <c r="G7" s="324"/>
      <c r="H7" s="325" t="s">
        <v>3</v>
      </c>
      <c r="I7" s="326" t="s">
        <v>4</v>
      </c>
    </row>
    <row r="8" spans="2:21" ht="100.5" customHeight="1" thickTop="1" thickBot="1">
      <c r="B8" s="322"/>
      <c r="C8" s="323"/>
      <c r="D8" s="94" t="s">
        <v>5</v>
      </c>
      <c r="E8" s="95" t="s">
        <v>6</v>
      </c>
      <c r="F8" s="96" t="s">
        <v>7</v>
      </c>
      <c r="G8" s="97" t="s">
        <v>8</v>
      </c>
      <c r="H8" s="325"/>
      <c r="I8" s="326"/>
      <c r="J8" s="98"/>
      <c r="M8" s="99"/>
      <c r="N8" s="99"/>
      <c r="O8" s="100"/>
      <c r="P8" s="100"/>
      <c r="Q8" s="100"/>
      <c r="R8" s="100"/>
      <c r="S8" s="100"/>
      <c r="T8" s="100"/>
      <c r="U8" s="100"/>
    </row>
    <row r="9" spans="2:21" ht="27.75" customHeight="1" thickTop="1">
      <c r="B9" s="101" t="s">
        <v>9</v>
      </c>
      <c r="C9" s="102">
        <v>3833</v>
      </c>
      <c r="D9" s="103">
        <v>1421</v>
      </c>
      <c r="E9" s="104">
        <v>37.072788938168536</v>
      </c>
      <c r="F9" s="103">
        <v>2377</v>
      </c>
      <c r="G9" s="104">
        <v>62.014088181581009</v>
      </c>
      <c r="H9" s="103">
        <v>35</v>
      </c>
      <c r="I9" s="105">
        <v>0.91312288025045663</v>
      </c>
      <c r="J9" s="106"/>
      <c r="K9" s="107"/>
      <c r="L9" s="108"/>
      <c r="M9" s="99"/>
      <c r="N9" s="99"/>
      <c r="O9" s="109"/>
      <c r="P9" s="110"/>
      <c r="Q9" s="110"/>
      <c r="R9" s="110"/>
      <c r="S9" s="110"/>
      <c r="T9" s="110"/>
      <c r="U9" s="110"/>
    </row>
    <row r="10" spans="2:21" ht="27.75" customHeight="1">
      <c r="B10" s="111" t="s">
        <v>212</v>
      </c>
      <c r="C10" s="102">
        <v>3405</v>
      </c>
      <c r="D10" s="112">
        <v>2190</v>
      </c>
      <c r="E10" s="104">
        <v>64.317180616740089</v>
      </c>
      <c r="F10" s="112">
        <v>1160</v>
      </c>
      <c r="G10" s="104">
        <v>34.067547723935391</v>
      </c>
      <c r="H10" s="112">
        <v>55</v>
      </c>
      <c r="I10" s="105">
        <v>1.6152716593245229</v>
      </c>
      <c r="J10" s="106"/>
      <c r="K10" s="107"/>
      <c r="L10" s="108"/>
      <c r="M10" s="113"/>
      <c r="N10" s="114"/>
      <c r="O10" s="109"/>
      <c r="P10" s="110"/>
      <c r="Q10" s="110"/>
      <c r="R10" s="110"/>
      <c r="S10" s="110"/>
      <c r="T10" s="110"/>
      <c r="U10" s="110"/>
    </row>
    <row r="11" spans="2:21" ht="27.75" customHeight="1">
      <c r="B11" s="115" t="s">
        <v>11</v>
      </c>
      <c r="C11" s="102">
        <v>1541</v>
      </c>
      <c r="D11" s="112">
        <v>1193</v>
      </c>
      <c r="E11" s="104">
        <v>77.417261518494485</v>
      </c>
      <c r="F11" s="112">
        <v>340</v>
      </c>
      <c r="G11" s="104">
        <v>22.063595068137573</v>
      </c>
      <c r="H11" s="112">
        <v>8</v>
      </c>
      <c r="I11" s="105">
        <v>0.5191434133679429</v>
      </c>
      <c r="J11" s="106"/>
      <c r="K11" s="107"/>
      <c r="L11" s="108"/>
      <c r="M11" s="113"/>
      <c r="N11" s="114"/>
      <c r="O11" s="109"/>
      <c r="P11" s="110"/>
      <c r="Q11" s="110"/>
      <c r="R11" s="110"/>
      <c r="S11" s="110"/>
      <c r="T11" s="110"/>
      <c r="U11" s="110"/>
    </row>
    <row r="12" spans="2:21" ht="27.75" customHeight="1">
      <c r="B12" s="116" t="s">
        <v>12</v>
      </c>
      <c r="C12" s="102">
        <v>480</v>
      </c>
      <c r="D12" s="112">
        <v>457</v>
      </c>
      <c r="E12" s="104">
        <v>95.208333333333329</v>
      </c>
      <c r="F12" s="112">
        <v>23</v>
      </c>
      <c r="G12" s="104">
        <v>4.791666666666667</v>
      </c>
      <c r="H12" s="112">
        <v>0</v>
      </c>
      <c r="I12" s="105">
        <v>0</v>
      </c>
      <c r="J12" s="106"/>
      <c r="K12" s="107"/>
      <c r="L12" s="108"/>
      <c r="M12" s="113"/>
      <c r="N12" s="114"/>
      <c r="O12" s="109"/>
      <c r="P12" s="110"/>
      <c r="Q12" s="110"/>
      <c r="R12" s="110"/>
      <c r="S12" s="110"/>
      <c r="T12" s="117"/>
      <c r="U12" s="118"/>
    </row>
    <row r="13" spans="2:21" ht="27.75" customHeight="1">
      <c r="B13" s="119" t="s">
        <v>13</v>
      </c>
      <c r="C13" s="102">
        <v>872</v>
      </c>
      <c r="D13" s="112">
        <v>498</v>
      </c>
      <c r="E13" s="104">
        <v>57.110091743119263</v>
      </c>
      <c r="F13" s="112">
        <v>374</v>
      </c>
      <c r="G13" s="104">
        <v>42.88990825688073</v>
      </c>
      <c r="H13" s="112">
        <v>0</v>
      </c>
      <c r="I13" s="105">
        <v>0</v>
      </c>
      <c r="J13" s="106"/>
      <c r="K13" s="107"/>
      <c r="L13" s="108"/>
      <c r="M13" s="113"/>
      <c r="N13" s="114"/>
      <c r="O13" s="109"/>
      <c r="P13" s="110"/>
      <c r="Q13" s="110"/>
      <c r="R13" s="110"/>
      <c r="S13" s="110"/>
      <c r="T13" s="117"/>
      <c r="U13" s="118"/>
    </row>
    <row r="14" spans="2:21" ht="27.75" customHeight="1">
      <c r="B14" s="120" t="s">
        <v>14</v>
      </c>
      <c r="C14" s="102">
        <v>56</v>
      </c>
      <c r="D14" s="112">
        <v>56</v>
      </c>
      <c r="E14" s="104">
        <v>100</v>
      </c>
      <c r="F14" s="112">
        <v>0</v>
      </c>
      <c r="G14" s="104">
        <v>0</v>
      </c>
      <c r="H14" s="112">
        <v>0</v>
      </c>
      <c r="I14" s="105">
        <v>0</v>
      </c>
      <c r="J14" s="106"/>
      <c r="K14" s="107"/>
      <c r="L14" s="108"/>
      <c r="O14" s="109"/>
      <c r="P14" s="110"/>
      <c r="Q14" s="110"/>
      <c r="R14" s="117"/>
      <c r="S14" s="118"/>
      <c r="T14" s="118"/>
      <c r="U14" s="118"/>
    </row>
    <row r="15" spans="2:21" ht="27.75" customHeight="1" thickBot="1">
      <c r="B15" s="121" t="s">
        <v>15</v>
      </c>
      <c r="C15" s="102">
        <v>2163</v>
      </c>
      <c r="D15" s="112">
        <v>1941</v>
      </c>
      <c r="E15" s="104">
        <v>89.736477115117893</v>
      </c>
      <c r="F15" s="112">
        <v>209</v>
      </c>
      <c r="G15" s="104">
        <v>9.6625057790106332</v>
      </c>
      <c r="H15" s="112">
        <v>13</v>
      </c>
      <c r="I15" s="105">
        <v>0.60101710587147483</v>
      </c>
      <c r="J15" s="106"/>
      <c r="K15" s="107"/>
      <c r="L15" s="108"/>
      <c r="O15" s="109"/>
      <c r="P15" s="110"/>
      <c r="Q15" s="110"/>
      <c r="R15" s="117"/>
      <c r="S15" s="118"/>
      <c r="T15" s="118"/>
      <c r="U15" s="118"/>
    </row>
    <row r="16" spans="2:21" ht="27.75" customHeight="1" thickBot="1">
      <c r="B16" s="122" t="s">
        <v>16</v>
      </c>
      <c r="C16" s="123">
        <f>SUM(C9:C15)</f>
        <v>12350</v>
      </c>
      <c r="D16" s="124">
        <v>7756</v>
      </c>
      <c r="E16" s="125">
        <v>62.801619433198383</v>
      </c>
      <c r="F16" s="124">
        <v>4483</v>
      </c>
      <c r="G16" s="125">
        <v>36.299595141700401</v>
      </c>
      <c r="H16" s="124">
        <v>111</v>
      </c>
      <c r="I16" s="126">
        <v>0.89878542510121451</v>
      </c>
      <c r="J16" s="106"/>
      <c r="K16" s="107"/>
      <c r="L16" s="108"/>
      <c r="O16" s="109"/>
      <c r="P16" s="110"/>
      <c r="Q16" s="110"/>
      <c r="R16" s="110"/>
      <c r="S16" s="110"/>
      <c r="T16" s="117"/>
      <c r="U16" s="118"/>
    </row>
    <row r="17" spans="2:21" ht="50.25" customHeight="1" thickTop="1">
      <c r="B17" s="327"/>
      <c r="C17" s="327"/>
      <c r="D17" s="327"/>
      <c r="E17" s="327"/>
      <c r="F17" s="327"/>
      <c r="G17" s="327"/>
      <c r="H17" s="327"/>
      <c r="I17" s="327"/>
      <c r="O17" s="109"/>
      <c r="P17" s="110"/>
      <c r="Q17" s="110"/>
      <c r="R17" s="110"/>
      <c r="S17" s="110"/>
      <c r="T17" s="117"/>
      <c r="U17" s="118"/>
    </row>
    <row r="18" spans="2:21" ht="15.75">
      <c r="B18" s="275" t="s">
        <v>197</v>
      </c>
      <c r="C18" s="250"/>
      <c r="D18" s="250"/>
      <c r="E18" s="250"/>
      <c r="F18" s="250"/>
      <c r="G18" s="250"/>
      <c r="H18" s="250"/>
      <c r="I18" s="250"/>
      <c r="O18" s="109"/>
      <c r="P18" s="110"/>
      <c r="Q18" s="110"/>
      <c r="R18" s="110"/>
      <c r="S18" s="110"/>
      <c r="T18" s="110"/>
      <c r="U18" s="110"/>
    </row>
    <row r="19" spans="2:21" ht="28.5" customHeight="1">
      <c r="B19" s="328" t="s">
        <v>196</v>
      </c>
      <c r="C19" s="328"/>
      <c r="D19" s="328"/>
      <c r="E19" s="328"/>
      <c r="F19" s="328"/>
      <c r="G19" s="328"/>
      <c r="H19" s="328"/>
      <c r="I19" s="328"/>
      <c r="O19" s="109"/>
      <c r="P19" s="110"/>
      <c r="Q19" s="110"/>
      <c r="R19" s="110"/>
      <c r="S19" s="110"/>
      <c r="T19" s="110"/>
      <c r="U19" s="110"/>
    </row>
    <row r="20" spans="2:21" ht="15">
      <c r="B20" s="275" t="s">
        <v>213</v>
      </c>
      <c r="C20" s="185"/>
      <c r="D20" s="185"/>
      <c r="E20" s="185"/>
      <c r="F20" s="185"/>
      <c r="G20" s="185"/>
      <c r="H20" s="185"/>
      <c r="I20" s="185"/>
      <c r="O20" s="109"/>
      <c r="P20" s="110"/>
      <c r="Q20" s="110"/>
      <c r="R20" s="117"/>
      <c r="S20" s="118"/>
      <c r="T20" s="118"/>
      <c r="U20" s="118"/>
    </row>
    <row r="21" spans="2:21" ht="40.5" customHeight="1">
      <c r="B21" s="329"/>
      <c r="C21" s="329"/>
      <c r="D21" s="329"/>
      <c r="E21" s="329"/>
      <c r="F21" s="329"/>
      <c r="G21" s="329"/>
      <c r="H21" s="329"/>
      <c r="I21" s="329"/>
      <c r="O21" s="109"/>
      <c r="P21" s="110"/>
      <c r="Q21" s="110"/>
      <c r="R21" s="110"/>
      <c r="S21" s="110"/>
      <c r="T21" s="117"/>
      <c r="U21" s="118"/>
    </row>
    <row r="22" spans="2:21" ht="15.75">
      <c r="B22" s="25"/>
      <c r="C22" s="25"/>
      <c r="D22" s="25"/>
      <c r="E22" s="25"/>
      <c r="F22" s="25"/>
      <c r="G22" s="25"/>
      <c r="H22" s="25"/>
      <c r="I22" s="25"/>
      <c r="O22" s="109"/>
      <c r="P22" s="110"/>
      <c r="Q22" s="110"/>
      <c r="R22" s="110"/>
      <c r="S22" s="110"/>
      <c r="T22" s="110"/>
      <c r="U22" s="110"/>
    </row>
    <row r="23" spans="2:21" ht="15.75">
      <c r="B23" s="25"/>
      <c r="C23" s="25"/>
      <c r="D23" s="25"/>
      <c r="E23" s="25"/>
      <c r="F23" s="25"/>
      <c r="G23" s="25"/>
      <c r="H23" s="25"/>
      <c r="I23" s="25"/>
      <c r="O23" s="109"/>
      <c r="P23" s="110"/>
      <c r="Q23" s="118"/>
      <c r="R23" s="118"/>
      <c r="S23" s="110"/>
      <c r="T23" s="117"/>
      <c r="U23" s="118"/>
    </row>
    <row r="24" spans="2:21" ht="15.75">
      <c r="B24" s="25"/>
      <c r="C24" s="25"/>
      <c r="D24" s="25"/>
      <c r="E24" s="25"/>
      <c r="F24" s="25"/>
      <c r="G24" s="25"/>
      <c r="H24" s="25"/>
      <c r="I24" s="25"/>
      <c r="O24" s="109"/>
      <c r="P24" s="110"/>
      <c r="Q24" s="110"/>
      <c r="R24" s="117"/>
      <c r="S24" s="118"/>
      <c r="T24" s="118"/>
      <c r="U24" s="118"/>
    </row>
    <row r="25" spans="2:21" ht="15.75">
      <c r="B25" s="25"/>
      <c r="C25" s="25"/>
      <c r="D25" s="25"/>
      <c r="E25" s="25"/>
      <c r="F25" s="25"/>
      <c r="G25" s="25"/>
      <c r="H25" s="25"/>
      <c r="I25" s="25"/>
      <c r="O25" s="109"/>
      <c r="P25" s="110"/>
      <c r="Q25" s="110"/>
      <c r="R25" s="117"/>
      <c r="S25" s="118"/>
      <c r="T25" s="118"/>
      <c r="U25" s="118"/>
    </row>
    <row r="26" spans="2:21" ht="15.75">
      <c r="B26" s="25"/>
      <c r="C26" s="25"/>
      <c r="D26" s="25"/>
      <c r="E26" s="25"/>
      <c r="F26" s="25"/>
      <c r="G26" s="25"/>
      <c r="H26" s="25"/>
      <c r="I26" s="25"/>
      <c r="O26" s="109"/>
      <c r="P26" s="110"/>
      <c r="Q26" s="110"/>
      <c r="R26" s="110"/>
      <c r="S26" s="110"/>
      <c r="T26" s="110"/>
      <c r="U26" s="110"/>
    </row>
    <row r="27" spans="2:21" ht="15.75">
      <c r="B27" s="25"/>
      <c r="C27" s="25"/>
      <c r="D27" s="25"/>
      <c r="E27" s="25"/>
      <c r="F27" s="25"/>
      <c r="G27" s="25"/>
      <c r="H27" s="25"/>
      <c r="I27" s="25"/>
      <c r="O27" s="109"/>
      <c r="P27" s="110"/>
      <c r="Q27" s="110"/>
      <c r="R27" s="110"/>
      <c r="S27" s="110"/>
      <c r="T27" s="117"/>
      <c r="U27" s="118"/>
    </row>
    <row r="28" spans="2:21" ht="15.75">
      <c r="B28" s="25"/>
      <c r="C28" s="25"/>
      <c r="D28" s="25"/>
      <c r="E28" s="25"/>
      <c r="F28" s="25"/>
      <c r="G28" s="25"/>
      <c r="H28" s="25"/>
      <c r="I28" s="25"/>
      <c r="O28" s="109"/>
      <c r="P28" s="110"/>
      <c r="Q28" s="110"/>
      <c r="R28" s="117"/>
      <c r="S28" s="118"/>
      <c r="T28" s="118"/>
      <c r="U28" s="118"/>
    </row>
    <row r="29" spans="2:21" ht="15.75">
      <c r="B29" s="25"/>
      <c r="C29" s="25"/>
      <c r="D29" s="25"/>
      <c r="E29" s="25"/>
      <c r="F29" s="25"/>
      <c r="G29" s="25"/>
      <c r="H29" s="25"/>
      <c r="I29" s="25"/>
      <c r="O29" s="109"/>
      <c r="P29" s="110"/>
      <c r="Q29" s="110"/>
      <c r="R29" s="110"/>
      <c r="S29" s="110"/>
      <c r="T29" s="117"/>
      <c r="U29" s="118"/>
    </row>
    <row r="30" spans="2:21" ht="15.75">
      <c r="B30" s="25"/>
      <c r="C30" s="25"/>
      <c r="D30" s="25"/>
      <c r="E30" s="25"/>
      <c r="F30" s="25"/>
      <c r="G30" s="25"/>
      <c r="H30" s="25"/>
      <c r="I30" s="25"/>
      <c r="O30" s="109"/>
      <c r="P30" s="110"/>
      <c r="Q30" s="110"/>
      <c r="R30" s="117"/>
      <c r="S30" s="118"/>
      <c r="T30" s="118"/>
      <c r="U30" s="118"/>
    </row>
    <row r="31" spans="2:21" ht="15.75">
      <c r="B31" s="25"/>
      <c r="C31" s="25"/>
      <c r="D31" s="25"/>
      <c r="E31" s="25"/>
      <c r="F31" s="25"/>
      <c r="G31" s="25"/>
      <c r="H31" s="25"/>
      <c r="I31" s="25"/>
      <c r="O31" s="109"/>
      <c r="P31" s="110"/>
      <c r="Q31" s="110"/>
      <c r="R31" s="110"/>
      <c r="S31" s="110"/>
      <c r="T31" s="110"/>
      <c r="U31" s="110"/>
    </row>
    <row r="32" spans="2:21" ht="15.75">
      <c r="B32" s="330"/>
      <c r="C32" s="330"/>
      <c r="D32" s="330"/>
      <c r="E32" s="330"/>
      <c r="F32" s="330"/>
      <c r="G32" s="330"/>
      <c r="H32" s="330"/>
      <c r="I32" s="330"/>
      <c r="O32" s="109"/>
      <c r="P32" s="110"/>
      <c r="Q32" s="110"/>
      <c r="R32" s="110"/>
      <c r="S32" s="110"/>
      <c r="T32" s="117"/>
      <c r="U32" s="118"/>
    </row>
    <row r="33" spans="2:21" ht="15.75">
      <c r="B33" s="127"/>
      <c r="C33" s="127"/>
      <c r="D33" s="127"/>
      <c r="E33" s="127"/>
      <c r="F33" s="127"/>
      <c r="G33" s="127"/>
      <c r="H33" s="127"/>
      <c r="I33" s="127"/>
      <c r="O33" s="109"/>
      <c r="P33" s="110"/>
      <c r="Q33" s="110"/>
      <c r="R33" s="110"/>
      <c r="S33" s="110"/>
      <c r="T33" s="110"/>
      <c r="U33" s="110"/>
    </row>
    <row r="34" spans="2:21" ht="15.75">
      <c r="B34" s="127"/>
      <c r="C34" s="127"/>
      <c r="D34" s="127"/>
      <c r="E34" s="127"/>
      <c r="F34" s="127"/>
      <c r="G34" s="127"/>
      <c r="H34" s="127"/>
      <c r="I34" s="127"/>
      <c r="O34" s="109"/>
      <c r="P34" s="110"/>
      <c r="Q34" s="110"/>
      <c r="R34" s="110"/>
      <c r="S34" s="110"/>
      <c r="T34" s="110"/>
      <c r="U34" s="110"/>
    </row>
    <row r="35" spans="2:21" ht="15.75">
      <c r="B35" s="127"/>
      <c r="C35" s="127"/>
      <c r="D35" s="127"/>
      <c r="E35" s="127"/>
      <c r="F35" s="127"/>
      <c r="G35" s="127"/>
      <c r="H35" s="127"/>
      <c r="I35" s="127"/>
      <c r="O35" s="109"/>
      <c r="P35" s="110"/>
      <c r="Q35" s="110"/>
      <c r="R35" s="117"/>
      <c r="S35" s="118"/>
      <c r="T35" s="118"/>
      <c r="U35" s="118"/>
    </row>
    <row r="36" spans="2:21" ht="15.75">
      <c r="B36" s="127"/>
      <c r="C36" s="127"/>
      <c r="D36" s="127"/>
      <c r="E36" s="127"/>
      <c r="F36" s="127"/>
      <c r="G36" s="127"/>
      <c r="H36" s="127"/>
      <c r="I36" s="127"/>
      <c r="O36" s="109"/>
      <c r="P36" s="110"/>
      <c r="Q36" s="110"/>
      <c r="R36" s="117"/>
      <c r="S36" s="118"/>
      <c r="T36" s="118"/>
      <c r="U36" s="118"/>
    </row>
    <row r="37" spans="2:21" ht="15.75">
      <c r="B37" s="127"/>
      <c r="C37" s="127"/>
      <c r="D37" s="127"/>
      <c r="E37" s="127"/>
      <c r="F37" s="127"/>
      <c r="G37" s="127"/>
      <c r="H37" s="127"/>
      <c r="I37" s="127"/>
      <c r="O37" s="109"/>
      <c r="P37" s="110"/>
      <c r="Q37" s="110"/>
      <c r="R37" s="117"/>
      <c r="S37" s="118"/>
      <c r="T37" s="118"/>
      <c r="U37" s="118"/>
    </row>
    <row r="38" spans="2:21" ht="15.75">
      <c r="B38" s="127"/>
      <c r="C38" s="127"/>
      <c r="D38" s="127"/>
      <c r="E38" s="127"/>
      <c r="F38" s="127"/>
      <c r="G38" s="127"/>
      <c r="H38" s="127"/>
      <c r="I38" s="127"/>
      <c r="O38" s="128"/>
      <c r="P38" s="129"/>
      <c r="Q38" s="129"/>
      <c r="R38" s="129"/>
      <c r="S38" s="129"/>
      <c r="T38" s="129"/>
      <c r="U38" s="129"/>
    </row>
    <row r="39" spans="2:21" ht="15" customHeight="1">
      <c r="B39" s="25"/>
      <c r="C39" s="25"/>
      <c r="D39" s="25"/>
      <c r="G39" s="25"/>
      <c r="H39" s="25"/>
      <c r="I39" s="25"/>
      <c r="O39" s="128"/>
      <c r="P39" s="129"/>
      <c r="Q39" s="129"/>
      <c r="R39" s="130"/>
      <c r="S39" s="130"/>
      <c r="T39" s="130"/>
      <c r="U39" s="131"/>
    </row>
    <row r="40" spans="2:21" ht="15">
      <c r="B40" s="319"/>
      <c r="C40" s="319"/>
      <c r="D40" s="319"/>
      <c r="E40" s="319"/>
      <c r="F40" s="319"/>
      <c r="G40" s="319"/>
      <c r="H40" s="319"/>
      <c r="I40" s="319"/>
      <c r="O40" s="128"/>
      <c r="P40" s="129"/>
      <c r="Q40" s="129"/>
      <c r="R40" s="129"/>
      <c r="S40" s="129"/>
      <c r="T40" s="129"/>
      <c r="U40" s="129"/>
    </row>
    <row r="41" spans="2:21" ht="21" customHeight="1">
      <c r="B41" s="25"/>
      <c r="C41" s="25"/>
      <c r="D41" s="25"/>
      <c r="E41" s="25"/>
      <c r="F41" s="25"/>
      <c r="G41" s="25"/>
      <c r="H41" s="25"/>
      <c r="I41" s="25"/>
      <c r="O41" s="128"/>
      <c r="P41" s="129"/>
      <c r="Q41" s="129"/>
      <c r="R41" s="130"/>
      <c r="S41" s="130"/>
      <c r="T41" s="130"/>
      <c r="U41" s="131"/>
    </row>
    <row r="42" spans="2:21" ht="54.75" customHeight="1">
      <c r="B42" s="319"/>
      <c r="C42" s="319"/>
      <c r="D42" s="319"/>
      <c r="E42" s="319"/>
      <c r="F42" s="319"/>
      <c r="G42" s="319"/>
      <c r="H42" s="319"/>
      <c r="I42" s="319"/>
      <c r="J42" s="98"/>
      <c r="O42" s="128"/>
      <c r="P42" s="129"/>
      <c r="Q42" s="129"/>
      <c r="R42" s="130"/>
      <c r="S42" s="130"/>
      <c r="T42" s="130"/>
      <c r="U42" s="131"/>
    </row>
    <row r="43" spans="2:21" ht="27.75" customHeight="1"/>
    <row r="44" spans="2:21" ht="27.75" customHeight="1">
      <c r="J44" s="132"/>
    </row>
    <row r="45" spans="2:21" ht="27.75" customHeight="1"/>
    <row r="46" spans="2:21" ht="27.75" customHeight="1"/>
    <row r="47" spans="2:21" ht="27.75" customHeight="1"/>
    <row r="48" spans="2:21" ht="27.75" customHeight="1"/>
    <row r="49" spans="2:9" ht="27.75" customHeight="1"/>
    <row r="50" spans="2:9" ht="27.75" customHeight="1"/>
    <row r="51" spans="2:9" ht="27.75" customHeight="1"/>
    <row r="56" spans="2:9">
      <c r="B56" s="331"/>
      <c r="C56" s="331"/>
      <c r="D56" s="331"/>
      <c r="E56" s="331"/>
      <c r="F56" s="331"/>
      <c r="G56" s="331"/>
      <c r="H56" s="331"/>
      <c r="I56" s="331"/>
    </row>
    <row r="57" spans="2:9">
      <c r="B57" s="133"/>
      <c r="C57" s="133"/>
      <c r="D57" s="133"/>
      <c r="E57" s="133"/>
      <c r="F57" s="133"/>
      <c r="G57" s="133"/>
      <c r="H57" s="133"/>
      <c r="I57" s="133"/>
    </row>
    <row r="58" spans="2:9">
      <c r="B58" s="133"/>
      <c r="C58" s="133"/>
      <c r="D58" s="133"/>
      <c r="E58" s="133"/>
      <c r="F58" s="133"/>
      <c r="G58" s="133"/>
      <c r="H58" s="133"/>
      <c r="I58" s="133"/>
    </row>
    <row r="59" spans="2:9">
      <c r="B59" s="133"/>
      <c r="C59" s="133"/>
      <c r="D59" s="133"/>
      <c r="E59" s="133"/>
      <c r="F59" s="133"/>
      <c r="G59" s="133"/>
      <c r="H59" s="133"/>
      <c r="I59" s="133"/>
    </row>
    <row r="60" spans="2:9">
      <c r="B60" s="133"/>
      <c r="C60" s="133"/>
      <c r="D60" s="133"/>
      <c r="E60" s="133"/>
      <c r="F60" s="133"/>
      <c r="G60" s="133"/>
      <c r="H60" s="133"/>
      <c r="I60" s="133"/>
    </row>
    <row r="61" spans="2:9">
      <c r="B61" s="133"/>
      <c r="C61" s="133"/>
      <c r="D61" s="133"/>
      <c r="E61" s="133"/>
      <c r="F61" s="133"/>
      <c r="G61" s="133"/>
      <c r="H61" s="133"/>
      <c r="I61" s="133"/>
    </row>
    <row r="62" spans="2:9">
      <c r="B62" s="133"/>
      <c r="C62" s="133"/>
      <c r="D62" s="133"/>
      <c r="E62" s="133"/>
      <c r="F62" s="133"/>
      <c r="G62" s="133"/>
      <c r="H62" s="133"/>
      <c r="I62" s="133"/>
    </row>
    <row r="64" spans="2:9" ht="15">
      <c r="B64" s="319"/>
      <c r="C64" s="319"/>
      <c r="D64" s="319"/>
      <c r="E64" s="319"/>
      <c r="F64" s="319"/>
      <c r="G64" s="319"/>
      <c r="H64" s="319"/>
      <c r="I64" s="319"/>
    </row>
    <row r="65" spans="2:10" ht="15">
      <c r="B65" s="319"/>
      <c r="C65" s="319"/>
      <c r="D65" s="319"/>
      <c r="E65" s="319"/>
      <c r="F65" s="319"/>
      <c r="G65" s="319"/>
      <c r="H65" s="319"/>
      <c r="I65" s="319"/>
    </row>
    <row r="66" spans="2:10" ht="21" customHeight="1"/>
    <row r="67" spans="2:10" ht="21" customHeight="1"/>
    <row r="68" spans="2:10" ht="54.75" customHeight="1">
      <c r="J68" s="98"/>
    </row>
    <row r="69" spans="2:10" ht="27.75" customHeight="1"/>
    <row r="70" spans="2:10" ht="27.75" customHeight="1"/>
    <row r="71" spans="2:10" ht="27.75" customHeight="1"/>
    <row r="73" spans="2:10" ht="27.75" customHeight="1"/>
    <row r="74" spans="2:10" ht="27.75" customHeight="1"/>
    <row r="79" spans="2:10">
      <c r="B79" s="331"/>
      <c r="C79" s="331"/>
      <c r="D79" s="331"/>
      <c r="E79" s="331"/>
      <c r="F79" s="331"/>
      <c r="G79" s="331"/>
      <c r="H79" s="331"/>
      <c r="I79" s="331"/>
    </row>
    <row r="80" spans="2:10">
      <c r="B80" s="133"/>
      <c r="C80" s="133"/>
      <c r="D80" s="133"/>
      <c r="E80" s="133"/>
      <c r="F80" s="133"/>
      <c r="G80" s="133"/>
      <c r="H80" s="133"/>
      <c r="I80" s="133"/>
    </row>
    <row r="81" spans="2:9">
      <c r="B81" s="133"/>
      <c r="C81" s="133"/>
      <c r="D81" s="133"/>
      <c r="E81" s="133"/>
      <c r="F81" s="133"/>
      <c r="G81" s="133"/>
      <c r="H81" s="133"/>
      <c r="I81" s="133"/>
    </row>
    <row r="82" spans="2:9">
      <c r="B82" s="133"/>
      <c r="C82" s="133"/>
      <c r="D82" s="133"/>
      <c r="E82" s="133"/>
      <c r="F82" s="133"/>
      <c r="G82" s="133"/>
      <c r="H82" s="133"/>
      <c r="I82" s="133"/>
    </row>
    <row r="83" spans="2:9">
      <c r="B83" s="133"/>
      <c r="C83" s="133"/>
      <c r="D83" s="133"/>
      <c r="E83" s="133"/>
      <c r="F83" s="133"/>
      <c r="G83" s="133"/>
      <c r="H83" s="133"/>
      <c r="I83" s="133"/>
    </row>
    <row r="84" spans="2:9">
      <c r="B84" s="133"/>
      <c r="C84" s="133"/>
      <c r="D84" s="133"/>
      <c r="E84" s="133"/>
      <c r="F84" s="133"/>
      <c r="G84" s="133"/>
      <c r="H84" s="133"/>
      <c r="I84" s="133"/>
    </row>
    <row r="85" spans="2:9">
      <c r="B85" s="133"/>
      <c r="C85" s="133"/>
      <c r="D85" s="133"/>
      <c r="E85" s="133"/>
      <c r="F85" s="133"/>
      <c r="G85" s="133"/>
      <c r="H85" s="133"/>
      <c r="I85" s="133"/>
    </row>
    <row r="87" spans="2:9" ht="15">
      <c r="B87" s="319"/>
      <c r="C87" s="319"/>
      <c r="D87" s="319"/>
      <c r="E87" s="319"/>
      <c r="F87" s="319"/>
      <c r="G87" s="319"/>
      <c r="H87" s="319"/>
      <c r="I87" s="319"/>
    </row>
  </sheetData>
  <sheetProtection selectLockedCells="1" selectUnlockedCells="1"/>
  <mergeCells count="20">
    <mergeCell ref="B56:I56"/>
    <mergeCell ref="B64:I64"/>
    <mergeCell ref="B65:I65"/>
    <mergeCell ref="B79:I79"/>
    <mergeCell ref="B87:I87"/>
    <mergeCell ref="B42:I42"/>
    <mergeCell ref="B1:I1"/>
    <mergeCell ref="B2:I2"/>
    <mergeCell ref="B3:I3"/>
    <mergeCell ref="B5:I5"/>
    <mergeCell ref="B7:B8"/>
    <mergeCell ref="C7:C8"/>
    <mergeCell ref="D7:G7"/>
    <mergeCell ref="H7:H8"/>
    <mergeCell ref="I7:I8"/>
    <mergeCell ref="B17:I17"/>
    <mergeCell ref="B19:I19"/>
    <mergeCell ref="B21:I21"/>
    <mergeCell ref="B32:I32"/>
    <mergeCell ref="B40:I40"/>
  </mergeCells>
  <printOptions horizontalCentered="1" verticalCentered="1"/>
  <pageMargins left="0.23622047244094491" right="0.23622047244094491" top="0.82677165354330717" bottom="0.78740157480314965" header="0.51181102362204722" footer="0.15748031496062992"/>
  <pageSetup paperSize="9" scale="45" firstPageNumber="0" orientation="landscape" verticalDpi="300" r:id="rId1"/>
  <headerFooter scaleWithDoc="0" alignWithMargins="0">
    <oddFooter>&amp;R&amp;"Verdana,Normale"&amp;8MINISTERO DELLA SALUTE  
Direzione Generale per l'Igiene e la Sicurezza degli Alimenti e la Nutrizione
Pagina 136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zoomScale="40" zoomScaleNormal="40" workbookViewId="0">
      <selection activeCell="AL9" sqref="AL9"/>
    </sheetView>
  </sheetViews>
  <sheetFormatPr defaultRowHeight="25.5"/>
  <cols>
    <col min="1" max="1" width="14.7109375" style="32" customWidth="1"/>
    <col min="2" max="2" width="31.85546875" style="38" customWidth="1"/>
    <col min="3" max="13" width="20.7109375" style="32" customWidth="1"/>
    <col min="14" max="14" width="16.28515625" style="32" customWidth="1"/>
    <col min="15" max="15" width="14.7109375" style="32" customWidth="1"/>
    <col min="16" max="16" width="0" style="32" hidden="1" customWidth="1"/>
    <col min="17" max="19" width="19.140625" style="32" hidden="1" customWidth="1"/>
    <col min="20" max="29" width="0" style="32" hidden="1" customWidth="1"/>
    <col min="30" max="16384" width="9.140625" style="32"/>
  </cols>
  <sheetData>
    <row r="1" spans="2:24" s="36" customFormat="1" ht="91.5" customHeight="1">
      <c r="B1" s="336" t="s">
        <v>140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2:24" s="36" customFormat="1" ht="57" customHeight="1">
      <c r="B2" s="337" t="s">
        <v>143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2:24" s="36" customFormat="1" ht="45">
      <c r="B3" s="338" t="s">
        <v>94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</row>
    <row r="4" spans="2:24" ht="50.25" customHeight="1">
      <c r="B4" s="337" t="s">
        <v>126</v>
      </c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</row>
    <row r="5" spans="2:24" ht="27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24" ht="27.75" customHeigh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2:24" ht="27.75" customHeight="1">
      <c r="B7" s="339" t="s">
        <v>95</v>
      </c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</row>
    <row r="8" spans="2:24" ht="15" customHeight="1" thickBot="1"/>
    <row r="9" spans="2:24" ht="31.5" customHeight="1" thickTop="1" thickBot="1">
      <c r="B9" s="340" t="s">
        <v>96</v>
      </c>
      <c r="C9" s="341" t="s">
        <v>97</v>
      </c>
      <c r="D9" s="341"/>
      <c r="E9" s="341"/>
      <c r="F9" s="341"/>
      <c r="G9" s="341"/>
      <c r="H9" s="341"/>
      <c r="I9" s="342" t="s">
        <v>98</v>
      </c>
      <c r="J9" s="342"/>
      <c r="K9" s="342"/>
      <c r="L9" s="342"/>
      <c r="M9" s="342"/>
      <c r="N9" s="342"/>
    </row>
    <row r="10" spans="2:24" ht="77.25" customHeight="1" thickTop="1" thickBot="1">
      <c r="B10" s="340"/>
      <c r="C10" s="39" t="s">
        <v>9</v>
      </c>
      <c r="D10" s="40" t="s">
        <v>215</v>
      </c>
      <c r="E10" s="41" t="s">
        <v>11</v>
      </c>
      <c r="F10" s="42" t="s">
        <v>12</v>
      </c>
      <c r="G10" s="43" t="s">
        <v>13</v>
      </c>
      <c r="H10" s="44" t="s">
        <v>45</v>
      </c>
      <c r="I10" s="39" t="s">
        <v>9</v>
      </c>
      <c r="J10" s="40" t="s">
        <v>10</v>
      </c>
      <c r="K10" s="41" t="s">
        <v>44</v>
      </c>
      <c r="L10" s="42" t="s">
        <v>12</v>
      </c>
      <c r="M10" s="43" t="s">
        <v>13</v>
      </c>
      <c r="N10" s="45" t="s">
        <v>99</v>
      </c>
      <c r="R10" s="87" t="s">
        <v>100</v>
      </c>
      <c r="S10" s="87" t="s">
        <v>25</v>
      </c>
      <c r="T10" s="87" t="s">
        <v>30</v>
      </c>
      <c r="U10" s="87" t="s">
        <v>23</v>
      </c>
      <c r="V10" s="87" t="s">
        <v>29</v>
      </c>
      <c r="W10" s="87" t="s">
        <v>40</v>
      </c>
      <c r="X10" s="87" t="s">
        <v>18</v>
      </c>
    </row>
    <row r="11" spans="2:24" ht="35.1" customHeight="1" thickTop="1" thickBot="1">
      <c r="B11" s="46" t="s">
        <v>46</v>
      </c>
      <c r="C11" s="47">
        <v>147</v>
      </c>
      <c r="D11" s="48">
        <v>117</v>
      </c>
      <c r="E11" s="48">
        <v>51</v>
      </c>
      <c r="F11" s="48">
        <v>30</v>
      </c>
      <c r="G11" s="49">
        <v>52</v>
      </c>
      <c r="H11" s="50">
        <f>C11+D11+E11+F11+G11</f>
        <v>397</v>
      </c>
      <c r="I11" s="48">
        <f>C11/76*100</f>
        <v>193.42105263157893</v>
      </c>
      <c r="J11" s="48">
        <f>D11/81*100</f>
        <v>144.44444444444443</v>
      </c>
      <c r="K11" s="48">
        <f>E11/39*100</f>
        <v>130.76923076923077</v>
      </c>
      <c r="L11" s="48">
        <f>F11/10*100</f>
        <v>300</v>
      </c>
      <c r="M11" s="51">
        <f>G11/45*100</f>
        <v>115.55555555555554</v>
      </c>
      <c r="N11" s="52">
        <f>H11/251*100</f>
        <v>158.16733067729083</v>
      </c>
      <c r="R11" s="88" t="s">
        <v>101</v>
      </c>
      <c r="S11" s="89">
        <v>147</v>
      </c>
      <c r="T11" s="89">
        <v>117</v>
      </c>
      <c r="U11" s="89">
        <v>51</v>
      </c>
      <c r="V11" s="89">
        <v>30</v>
      </c>
      <c r="W11" s="89">
        <v>52</v>
      </c>
      <c r="X11" s="89">
        <v>397</v>
      </c>
    </row>
    <row r="12" spans="2:24" ht="35.1" customHeight="1" thickTop="1" thickBot="1">
      <c r="B12" s="46" t="s">
        <v>48</v>
      </c>
      <c r="C12" s="53">
        <v>37</v>
      </c>
      <c r="D12" s="54">
        <v>43</v>
      </c>
      <c r="E12" s="54">
        <v>58</v>
      </c>
      <c r="F12" s="54">
        <v>10</v>
      </c>
      <c r="G12" s="55">
        <v>9</v>
      </c>
      <c r="H12" s="50">
        <f t="shared" ref="H12:H31" si="0">C12+D12+E12+F12+G12</f>
        <v>157</v>
      </c>
      <c r="I12" s="54">
        <f>C12/30*100</f>
        <v>123.33333333333334</v>
      </c>
      <c r="J12" s="54">
        <f>D12/31*100</f>
        <v>138.70967741935485</v>
      </c>
      <c r="K12" s="54">
        <f>E12/57*100</f>
        <v>101.75438596491229</v>
      </c>
      <c r="L12" s="54">
        <f>F12/5*100</f>
        <v>200</v>
      </c>
      <c r="M12" s="56">
        <f>G12/10*100</f>
        <v>90</v>
      </c>
      <c r="N12" s="52">
        <f>H12/133*100</f>
        <v>118.04511278195488</v>
      </c>
      <c r="R12" s="88" t="s">
        <v>102</v>
      </c>
      <c r="S12" s="89">
        <v>37</v>
      </c>
      <c r="T12" s="89">
        <v>43</v>
      </c>
      <c r="U12" s="89">
        <v>58</v>
      </c>
      <c r="V12" s="89">
        <v>10</v>
      </c>
      <c r="W12" s="89">
        <v>9</v>
      </c>
      <c r="X12" s="89">
        <v>157</v>
      </c>
    </row>
    <row r="13" spans="2:24" ht="51" customHeight="1" thickTop="1" thickBot="1">
      <c r="B13" s="46" t="s">
        <v>51</v>
      </c>
      <c r="C13" s="53">
        <v>92</v>
      </c>
      <c r="D13" s="54">
        <v>34</v>
      </c>
      <c r="E13" s="54">
        <v>5</v>
      </c>
      <c r="F13" s="54">
        <v>6</v>
      </c>
      <c r="G13" s="55">
        <v>21</v>
      </c>
      <c r="H13" s="50">
        <f t="shared" si="0"/>
        <v>158</v>
      </c>
      <c r="I13" s="54">
        <f>C13/71*100</f>
        <v>129.57746478873241</v>
      </c>
      <c r="J13" s="54">
        <f>D13/10*100</f>
        <v>340</v>
      </c>
      <c r="K13" s="54">
        <f>E13/5*100</f>
        <v>100</v>
      </c>
      <c r="L13" s="54">
        <f>F13/5*100</f>
        <v>120</v>
      </c>
      <c r="M13" s="56">
        <f>G13/10*100</f>
        <v>210</v>
      </c>
      <c r="N13" s="52">
        <f>H13/101*100</f>
        <v>156.43564356435644</v>
      </c>
      <c r="P13" s="57"/>
      <c r="R13" s="88" t="s">
        <v>103</v>
      </c>
      <c r="S13" s="89">
        <v>92</v>
      </c>
      <c r="T13" s="89">
        <v>34</v>
      </c>
      <c r="U13" s="89">
        <v>5</v>
      </c>
      <c r="V13" s="89">
        <v>6</v>
      </c>
      <c r="W13" s="89">
        <v>21</v>
      </c>
      <c r="X13" s="89">
        <v>158</v>
      </c>
    </row>
    <row r="14" spans="2:24" ht="35.1" customHeight="1" thickTop="1" thickBot="1">
      <c r="B14" s="46" t="s">
        <v>104</v>
      </c>
      <c r="C14" s="53">
        <v>174</v>
      </c>
      <c r="D14" s="54">
        <v>138</v>
      </c>
      <c r="E14" s="54">
        <v>16</v>
      </c>
      <c r="F14" s="54">
        <v>49</v>
      </c>
      <c r="G14" s="55">
        <v>22</v>
      </c>
      <c r="H14" s="50">
        <f t="shared" si="0"/>
        <v>399</v>
      </c>
      <c r="I14" s="54">
        <f>C14/123*100</f>
        <v>141.46341463414635</v>
      </c>
      <c r="J14" s="54">
        <f>D14/76*100</f>
        <v>181.57894736842107</v>
      </c>
      <c r="K14" s="54">
        <f>E14/18*100</f>
        <v>88.888888888888886</v>
      </c>
      <c r="L14" s="54">
        <f>F14/24*100</f>
        <v>204.16666666666666</v>
      </c>
      <c r="M14" s="56">
        <f>G14/13*100</f>
        <v>169.23076923076923</v>
      </c>
      <c r="N14" s="52">
        <f>H14/254*100</f>
        <v>157.08661417322836</v>
      </c>
      <c r="P14" s="58"/>
      <c r="R14" s="88" t="s">
        <v>105</v>
      </c>
      <c r="S14" s="89">
        <v>174</v>
      </c>
      <c r="T14" s="89">
        <v>138</v>
      </c>
      <c r="U14" s="89">
        <v>16</v>
      </c>
      <c r="V14" s="89">
        <v>49</v>
      </c>
      <c r="W14" s="89">
        <v>22</v>
      </c>
      <c r="X14" s="89">
        <v>399</v>
      </c>
    </row>
    <row r="15" spans="2:24" s="60" customFormat="1" ht="35.1" customHeight="1" thickTop="1" thickBot="1">
      <c r="B15" s="46" t="s">
        <v>56</v>
      </c>
      <c r="C15" s="53">
        <v>248</v>
      </c>
      <c r="D15" s="54">
        <v>280</v>
      </c>
      <c r="E15" s="54">
        <v>52</v>
      </c>
      <c r="F15" s="54">
        <v>4</v>
      </c>
      <c r="G15" s="55">
        <v>0</v>
      </c>
      <c r="H15" s="50">
        <f t="shared" si="0"/>
        <v>584</v>
      </c>
      <c r="I15" s="54">
        <f>C15/181*100</f>
        <v>137.01657458563537</v>
      </c>
      <c r="J15" s="54">
        <f>D15/258*100</f>
        <v>108.52713178294573</v>
      </c>
      <c r="K15" s="54">
        <f>E15/70*100</f>
        <v>74.285714285714292</v>
      </c>
      <c r="L15" s="54">
        <f>F15/10*100</f>
        <v>40</v>
      </c>
      <c r="M15" s="56">
        <f>G15/27*100</f>
        <v>0</v>
      </c>
      <c r="N15" s="52">
        <f>H15/546*100</f>
        <v>106.95970695970696</v>
      </c>
      <c r="O15" s="32"/>
      <c r="P15" s="59"/>
      <c r="R15" s="88" t="s">
        <v>106</v>
      </c>
      <c r="S15" s="89">
        <v>248</v>
      </c>
      <c r="T15" s="89">
        <v>280</v>
      </c>
      <c r="U15" s="89">
        <v>52</v>
      </c>
      <c r="V15" s="89">
        <v>4</v>
      </c>
      <c r="W15" s="90"/>
      <c r="X15" s="89">
        <v>584</v>
      </c>
    </row>
    <row r="16" spans="2:24" ht="35.1" customHeight="1" thickTop="1" thickBot="1">
      <c r="B16" s="46" t="s">
        <v>59</v>
      </c>
      <c r="C16" s="53">
        <v>606</v>
      </c>
      <c r="D16" s="54">
        <v>442</v>
      </c>
      <c r="E16" s="54">
        <v>143</v>
      </c>
      <c r="F16" s="54">
        <v>25</v>
      </c>
      <c r="G16" s="55">
        <v>85</v>
      </c>
      <c r="H16" s="50">
        <f t="shared" si="0"/>
        <v>1301</v>
      </c>
      <c r="I16" s="54">
        <f>C16/247*100</f>
        <v>245.34412955465586</v>
      </c>
      <c r="J16" s="54">
        <f>D16/218*100</f>
        <v>202.75229357798165</v>
      </c>
      <c r="K16" s="54">
        <f>E16/184*100</f>
        <v>77.717391304347828</v>
      </c>
      <c r="L16" s="54">
        <f>F16/10*100</f>
        <v>250</v>
      </c>
      <c r="M16" s="56">
        <f>G16/67*100</f>
        <v>126.86567164179105</v>
      </c>
      <c r="N16" s="52">
        <f>H16/726*100</f>
        <v>179.20110192837467</v>
      </c>
      <c r="P16" s="58"/>
      <c r="R16" s="88" t="s">
        <v>107</v>
      </c>
      <c r="S16" s="89">
        <v>606</v>
      </c>
      <c r="T16" s="89">
        <v>442</v>
      </c>
      <c r="U16" s="89">
        <v>143</v>
      </c>
      <c r="V16" s="89">
        <v>25</v>
      </c>
      <c r="W16" s="89">
        <v>85</v>
      </c>
      <c r="X16" s="89">
        <v>1301</v>
      </c>
    </row>
    <row r="17" spans="2:24" ht="35.1" customHeight="1" thickTop="1" thickBot="1">
      <c r="B17" s="46" t="s">
        <v>108</v>
      </c>
      <c r="C17" s="53">
        <v>37</v>
      </c>
      <c r="D17" s="54">
        <v>24</v>
      </c>
      <c r="E17" s="54">
        <v>11</v>
      </c>
      <c r="F17" s="54">
        <v>11</v>
      </c>
      <c r="G17" s="55">
        <v>15</v>
      </c>
      <c r="H17" s="50">
        <f t="shared" si="0"/>
        <v>98</v>
      </c>
      <c r="I17" s="54">
        <f>C17/32*100</f>
        <v>115.625</v>
      </c>
      <c r="J17" s="54">
        <f>D17/18*100</f>
        <v>133.33333333333331</v>
      </c>
      <c r="K17" s="54">
        <f>E17/12*100</f>
        <v>91.666666666666657</v>
      </c>
      <c r="L17" s="54">
        <f>F17/10*100</f>
        <v>110.00000000000001</v>
      </c>
      <c r="M17" s="56">
        <f>G17/15*100</f>
        <v>100</v>
      </c>
      <c r="N17" s="52">
        <f>H17/87*100</f>
        <v>112.64367816091954</v>
      </c>
      <c r="P17" s="57"/>
      <c r="R17" s="88" t="s">
        <v>109</v>
      </c>
      <c r="S17" s="89">
        <v>37</v>
      </c>
      <c r="T17" s="89">
        <v>24</v>
      </c>
      <c r="U17" s="89">
        <v>11</v>
      </c>
      <c r="V17" s="89">
        <v>11</v>
      </c>
      <c r="W17" s="89">
        <v>15</v>
      </c>
      <c r="X17" s="89">
        <v>98</v>
      </c>
    </row>
    <row r="18" spans="2:24" ht="35.1" customHeight="1" thickTop="1" thickBot="1">
      <c r="B18" s="46" t="s">
        <v>64</v>
      </c>
      <c r="C18" s="53">
        <v>261</v>
      </c>
      <c r="D18" s="54">
        <v>311</v>
      </c>
      <c r="E18" s="54">
        <v>111</v>
      </c>
      <c r="F18" s="54">
        <v>55</v>
      </c>
      <c r="G18" s="55">
        <v>76</v>
      </c>
      <c r="H18" s="50">
        <f t="shared" si="0"/>
        <v>814</v>
      </c>
      <c r="I18" s="54">
        <f>C18/125*100</f>
        <v>208.8</v>
      </c>
      <c r="J18" s="54">
        <f>D18/160*100</f>
        <v>194.375</v>
      </c>
      <c r="K18" s="54">
        <f>E18/87*100</f>
        <v>127.58620689655173</v>
      </c>
      <c r="L18" s="54">
        <f>F18/10*100</f>
        <v>550</v>
      </c>
      <c r="M18" s="56">
        <f>G18/38*100</f>
        <v>200</v>
      </c>
      <c r="N18" s="52">
        <f>H18/420*100</f>
        <v>193.8095238095238</v>
      </c>
      <c r="P18" s="57"/>
      <c r="R18" s="88" t="s">
        <v>110</v>
      </c>
      <c r="S18" s="89">
        <v>261</v>
      </c>
      <c r="T18" s="89">
        <v>311</v>
      </c>
      <c r="U18" s="89">
        <v>111</v>
      </c>
      <c r="V18" s="89">
        <v>55</v>
      </c>
      <c r="W18" s="89">
        <v>76</v>
      </c>
      <c r="X18" s="89">
        <v>814</v>
      </c>
    </row>
    <row r="19" spans="2:24" ht="35.1" customHeight="1" thickTop="1" thickBot="1">
      <c r="B19" s="46" t="s">
        <v>67</v>
      </c>
      <c r="C19" s="53">
        <v>27</v>
      </c>
      <c r="D19" s="54">
        <v>38</v>
      </c>
      <c r="E19" s="54">
        <v>10</v>
      </c>
      <c r="F19" s="54">
        <v>11</v>
      </c>
      <c r="G19" s="55">
        <v>10</v>
      </c>
      <c r="H19" s="50">
        <f t="shared" si="0"/>
        <v>96</v>
      </c>
      <c r="I19" s="54">
        <f>C19/23*100</f>
        <v>117.39130434782609</v>
      </c>
      <c r="J19" s="54">
        <f>D19/30*100</f>
        <v>126.66666666666666</v>
      </c>
      <c r="K19" s="54">
        <f>E19/14*100</f>
        <v>71.428571428571431</v>
      </c>
      <c r="L19" s="54">
        <f>F19/10*100</f>
        <v>110.00000000000001</v>
      </c>
      <c r="M19" s="56">
        <f>G19/10*100</f>
        <v>100</v>
      </c>
      <c r="N19" s="52">
        <f>H19/87*100</f>
        <v>110.34482758620689</v>
      </c>
      <c r="P19" s="57"/>
      <c r="R19" s="88" t="s">
        <v>111</v>
      </c>
      <c r="S19" s="89">
        <v>27</v>
      </c>
      <c r="T19" s="89">
        <v>38</v>
      </c>
      <c r="U19" s="89">
        <v>10</v>
      </c>
      <c r="V19" s="89">
        <v>11</v>
      </c>
      <c r="W19" s="89">
        <v>10</v>
      </c>
      <c r="X19" s="89">
        <v>96</v>
      </c>
    </row>
    <row r="20" spans="2:24" ht="35.1" customHeight="1" thickTop="1" thickBot="1">
      <c r="B20" s="46" t="s">
        <v>72</v>
      </c>
      <c r="C20" s="53">
        <v>129</v>
      </c>
      <c r="D20" s="54">
        <v>145</v>
      </c>
      <c r="E20" s="54">
        <v>105</v>
      </c>
      <c r="F20" s="54">
        <v>19</v>
      </c>
      <c r="G20" s="55">
        <v>51</v>
      </c>
      <c r="H20" s="50">
        <f t="shared" si="0"/>
        <v>449</v>
      </c>
      <c r="I20" s="54">
        <f>C20/123*100</f>
        <v>104.8780487804878</v>
      </c>
      <c r="J20" s="54">
        <f>D20/139*100</f>
        <v>104.31654676258992</v>
      </c>
      <c r="K20" s="54">
        <f>E20/131*100</f>
        <v>80.152671755725194</v>
      </c>
      <c r="L20" s="54">
        <f>F20/15*100</f>
        <v>126.66666666666666</v>
      </c>
      <c r="M20" s="56">
        <f>G20/26*100</f>
        <v>196.15384615384613</v>
      </c>
      <c r="N20" s="52">
        <f>H20/434*100</f>
        <v>103.45622119815667</v>
      </c>
      <c r="P20" s="57"/>
      <c r="R20" s="88" t="s">
        <v>112</v>
      </c>
      <c r="S20" s="89">
        <v>129</v>
      </c>
      <c r="T20" s="89">
        <v>145</v>
      </c>
      <c r="U20" s="89">
        <v>105</v>
      </c>
      <c r="V20" s="89">
        <v>19</v>
      </c>
      <c r="W20" s="89">
        <v>51</v>
      </c>
      <c r="X20" s="89">
        <v>449</v>
      </c>
    </row>
    <row r="21" spans="2:24" ht="35.1" customHeight="1" thickTop="1" thickBot="1">
      <c r="B21" s="46" t="s">
        <v>75</v>
      </c>
      <c r="C21" s="53">
        <v>58</v>
      </c>
      <c r="D21" s="54">
        <v>67</v>
      </c>
      <c r="E21" s="54">
        <v>98</v>
      </c>
      <c r="F21" s="54">
        <v>14</v>
      </c>
      <c r="G21" s="55">
        <v>26</v>
      </c>
      <c r="H21" s="50">
        <f t="shared" si="0"/>
        <v>263</v>
      </c>
      <c r="I21" s="54">
        <f>C21/46*100</f>
        <v>126.08695652173914</v>
      </c>
      <c r="J21" s="54">
        <f>D21/53*100</f>
        <v>126.41509433962264</v>
      </c>
      <c r="K21" s="54">
        <f>E21/90*100</f>
        <v>108.88888888888889</v>
      </c>
      <c r="L21" s="54">
        <f>F21/10*100</f>
        <v>140</v>
      </c>
      <c r="M21" s="56">
        <f>G21/24*100</f>
        <v>108.33333333333333</v>
      </c>
      <c r="N21" s="52">
        <f>H21/223*100</f>
        <v>117.93721973094171</v>
      </c>
      <c r="P21" s="57"/>
      <c r="R21" s="88" t="s">
        <v>113</v>
      </c>
      <c r="S21" s="89">
        <v>58</v>
      </c>
      <c r="T21" s="89">
        <v>67</v>
      </c>
      <c r="U21" s="89">
        <v>98</v>
      </c>
      <c r="V21" s="89">
        <v>14</v>
      </c>
      <c r="W21" s="89">
        <v>26</v>
      </c>
      <c r="X21" s="89">
        <v>263</v>
      </c>
    </row>
    <row r="22" spans="2:24" ht="35.1" customHeight="1" thickTop="1" thickBot="1">
      <c r="B22" s="46" t="s">
        <v>77</v>
      </c>
      <c r="C22" s="53">
        <v>29</v>
      </c>
      <c r="D22" s="54">
        <v>26</v>
      </c>
      <c r="E22" s="54">
        <v>31</v>
      </c>
      <c r="F22" s="54">
        <v>8</v>
      </c>
      <c r="G22" s="55">
        <v>10</v>
      </c>
      <c r="H22" s="50">
        <f t="shared" si="0"/>
        <v>104</v>
      </c>
      <c r="I22" s="54">
        <f>C22/12*100</f>
        <v>241.66666666666666</v>
      </c>
      <c r="J22" s="54">
        <f>D22/10*100</f>
        <v>260</v>
      </c>
      <c r="K22" s="54">
        <f>E22/33*100</f>
        <v>93.939393939393938</v>
      </c>
      <c r="L22" s="54">
        <f>F22/5*100</f>
        <v>160</v>
      </c>
      <c r="M22" s="56">
        <f>G22/10*100</f>
        <v>100</v>
      </c>
      <c r="N22" s="52">
        <f>H22/70*100</f>
        <v>148.57142857142858</v>
      </c>
      <c r="P22" s="57"/>
      <c r="R22" s="88" t="s">
        <v>114</v>
      </c>
      <c r="S22" s="89">
        <v>29</v>
      </c>
      <c r="T22" s="89">
        <v>26</v>
      </c>
      <c r="U22" s="89">
        <v>31</v>
      </c>
      <c r="V22" s="89">
        <v>8</v>
      </c>
      <c r="W22" s="89">
        <v>10</v>
      </c>
      <c r="X22" s="89">
        <v>104</v>
      </c>
    </row>
    <row r="23" spans="2:24" ht="35.1" customHeight="1" thickTop="1" thickBot="1">
      <c r="B23" s="46" t="s">
        <v>79</v>
      </c>
      <c r="C23" s="53">
        <v>117</v>
      </c>
      <c r="D23" s="54">
        <v>87</v>
      </c>
      <c r="E23" s="54">
        <v>162</v>
      </c>
      <c r="F23" s="54">
        <v>10</v>
      </c>
      <c r="G23" s="55">
        <v>40</v>
      </c>
      <c r="H23" s="50">
        <f t="shared" si="0"/>
        <v>416</v>
      </c>
      <c r="I23" s="54">
        <f>C23/116*100</f>
        <v>100.86206896551724</v>
      </c>
      <c r="J23" s="54">
        <f>D23/87*100</f>
        <v>100</v>
      </c>
      <c r="K23" s="54">
        <f>E23/161*100</f>
        <v>100.62111801242236</v>
      </c>
      <c r="L23" s="54">
        <f>F23/10*100</f>
        <v>100</v>
      </c>
      <c r="M23" s="56">
        <f>G23/39*100</f>
        <v>102.56410256410255</v>
      </c>
      <c r="N23" s="52">
        <f>H23/413*100</f>
        <v>100.72639225181599</v>
      </c>
      <c r="P23" s="58"/>
      <c r="R23" s="88" t="s">
        <v>115</v>
      </c>
      <c r="S23" s="89">
        <v>117</v>
      </c>
      <c r="T23" s="89">
        <v>87</v>
      </c>
      <c r="U23" s="89">
        <v>162</v>
      </c>
      <c r="V23" s="89">
        <v>10</v>
      </c>
      <c r="W23" s="89">
        <v>40</v>
      </c>
      <c r="X23" s="89">
        <v>416</v>
      </c>
    </row>
    <row r="24" spans="2:24" ht="35.1" customHeight="1" thickTop="1" thickBot="1">
      <c r="B24" s="46" t="s">
        <v>80</v>
      </c>
      <c r="C24" s="53">
        <v>286</v>
      </c>
      <c r="D24" s="54">
        <v>364</v>
      </c>
      <c r="E24" s="54">
        <v>135</v>
      </c>
      <c r="F24" s="54">
        <v>67</v>
      </c>
      <c r="G24" s="55">
        <v>96</v>
      </c>
      <c r="H24" s="50">
        <f t="shared" si="0"/>
        <v>948</v>
      </c>
      <c r="I24" s="54">
        <f>C24/257*100</f>
        <v>111.28404669260701</v>
      </c>
      <c r="J24" s="54">
        <f>D24/356*100</f>
        <v>102.24719101123596</v>
      </c>
      <c r="K24" s="54">
        <f>E24/133*100</f>
        <v>101.50375939849626</v>
      </c>
      <c r="L24" s="54">
        <f>F24/31*100</f>
        <v>216.12903225806451</v>
      </c>
      <c r="M24" s="56">
        <f>G24/96*100</f>
        <v>100</v>
      </c>
      <c r="N24" s="52">
        <f>H24/873*100</f>
        <v>108.59106529209622</v>
      </c>
      <c r="P24" s="57"/>
      <c r="R24" s="88" t="s">
        <v>116</v>
      </c>
      <c r="S24" s="89">
        <v>286</v>
      </c>
      <c r="T24" s="89">
        <v>364</v>
      </c>
      <c r="U24" s="89">
        <v>135</v>
      </c>
      <c r="V24" s="89">
        <v>67</v>
      </c>
      <c r="W24" s="89">
        <v>96</v>
      </c>
      <c r="X24" s="89">
        <v>948</v>
      </c>
    </row>
    <row r="25" spans="2:24" ht="35.1" customHeight="1" thickTop="1" thickBot="1">
      <c r="B25" s="46" t="s">
        <v>82</v>
      </c>
      <c r="C25" s="53">
        <v>57</v>
      </c>
      <c r="D25" s="54">
        <v>81</v>
      </c>
      <c r="E25" s="54">
        <v>34</v>
      </c>
      <c r="F25" s="54">
        <v>12</v>
      </c>
      <c r="G25" s="55">
        <v>16</v>
      </c>
      <c r="H25" s="50">
        <f t="shared" si="0"/>
        <v>200</v>
      </c>
      <c r="I25" s="54">
        <f>C25/43*100</f>
        <v>132.55813953488371</v>
      </c>
      <c r="J25" s="54">
        <f>D25/46*100</f>
        <v>176.08695652173913</v>
      </c>
      <c r="K25" s="54">
        <f>E25/30*100</f>
        <v>113.33333333333333</v>
      </c>
      <c r="L25" s="54">
        <f>F25/10*100</f>
        <v>120</v>
      </c>
      <c r="M25" s="56">
        <f>G25/16*100</f>
        <v>100</v>
      </c>
      <c r="N25" s="52">
        <f>H25/145*100</f>
        <v>137.93103448275863</v>
      </c>
      <c r="P25" s="57"/>
      <c r="R25" s="88" t="s">
        <v>117</v>
      </c>
      <c r="S25" s="89">
        <v>57</v>
      </c>
      <c r="T25" s="89">
        <v>81</v>
      </c>
      <c r="U25" s="89">
        <v>34</v>
      </c>
      <c r="V25" s="89">
        <v>12</v>
      </c>
      <c r="W25" s="89">
        <v>16</v>
      </c>
      <c r="X25" s="89">
        <v>200</v>
      </c>
    </row>
    <row r="26" spans="2:24" ht="35.1" customHeight="1" thickTop="1" thickBot="1">
      <c r="B26" s="46" t="s">
        <v>84</v>
      </c>
      <c r="C26" s="53">
        <v>614</v>
      </c>
      <c r="D26" s="54">
        <v>458</v>
      </c>
      <c r="E26" s="54">
        <v>133</v>
      </c>
      <c r="F26" s="54">
        <v>29</v>
      </c>
      <c r="G26" s="55">
        <v>120</v>
      </c>
      <c r="H26" s="50">
        <f t="shared" si="0"/>
        <v>1354</v>
      </c>
      <c r="I26" s="54">
        <f>C26/477*100</f>
        <v>128.72117400419287</v>
      </c>
      <c r="J26" s="54">
        <f>D26/209*100</f>
        <v>219.13875598086125</v>
      </c>
      <c r="K26" s="54">
        <f>E26/123*100</f>
        <v>108.130081300813</v>
      </c>
      <c r="L26" s="54">
        <f>F26/12*100</f>
        <v>241.66666666666666</v>
      </c>
      <c r="M26" s="56">
        <f>G26/109*100</f>
        <v>110.09174311926606</v>
      </c>
      <c r="N26" s="52">
        <f>H26/930*100</f>
        <v>145.59139784946237</v>
      </c>
      <c r="P26" s="57"/>
      <c r="R26" s="88" t="s">
        <v>118</v>
      </c>
      <c r="S26" s="89">
        <v>614</v>
      </c>
      <c r="T26" s="89">
        <v>458</v>
      </c>
      <c r="U26" s="89">
        <v>133</v>
      </c>
      <c r="V26" s="89">
        <v>29</v>
      </c>
      <c r="W26" s="89">
        <v>120</v>
      </c>
      <c r="X26" s="89">
        <v>1354</v>
      </c>
    </row>
    <row r="27" spans="2:24" ht="35.1" customHeight="1" thickTop="1" thickBot="1">
      <c r="B27" s="46" t="s">
        <v>86</v>
      </c>
      <c r="C27" s="53">
        <v>90</v>
      </c>
      <c r="D27" s="54">
        <v>70</v>
      </c>
      <c r="E27" s="54">
        <v>92</v>
      </c>
      <c r="F27" s="54">
        <v>16</v>
      </c>
      <c r="G27" s="55">
        <v>39</v>
      </c>
      <c r="H27" s="50">
        <f t="shared" si="0"/>
        <v>307</v>
      </c>
      <c r="I27" s="54">
        <f>C27/90*100</f>
        <v>100</v>
      </c>
      <c r="J27" s="54">
        <f>D27/71*100</f>
        <v>98.591549295774655</v>
      </c>
      <c r="K27" s="54">
        <f>E27/89*100</f>
        <v>103.37078651685394</v>
      </c>
      <c r="L27" s="54">
        <f>F27/15*100</f>
        <v>106.66666666666667</v>
      </c>
      <c r="M27" s="56">
        <f>G27/38*100</f>
        <v>102.63157894736842</v>
      </c>
      <c r="N27" s="52">
        <f>H27/303*100</f>
        <v>101.32013201320132</v>
      </c>
      <c r="P27" s="57"/>
      <c r="R27" s="88" t="s">
        <v>119</v>
      </c>
      <c r="S27" s="89">
        <v>90</v>
      </c>
      <c r="T27" s="89">
        <v>70</v>
      </c>
      <c r="U27" s="89">
        <v>92</v>
      </c>
      <c r="V27" s="89">
        <v>16</v>
      </c>
      <c r="W27" s="89">
        <v>39</v>
      </c>
      <c r="X27" s="89">
        <v>307</v>
      </c>
    </row>
    <row r="28" spans="2:24" ht="35.1" customHeight="1" thickTop="1" thickBot="1">
      <c r="B28" s="46" t="s">
        <v>88</v>
      </c>
      <c r="C28" s="53">
        <v>51</v>
      </c>
      <c r="D28" s="54">
        <v>16</v>
      </c>
      <c r="E28" s="54">
        <v>6</v>
      </c>
      <c r="F28" s="54">
        <v>7</v>
      </c>
      <c r="G28" s="55">
        <v>13</v>
      </c>
      <c r="H28" s="50">
        <f t="shared" si="0"/>
        <v>93</v>
      </c>
      <c r="I28" s="54">
        <f>C28/47*100</f>
        <v>108.51063829787233</v>
      </c>
      <c r="J28" s="54">
        <f>D28/10*100</f>
        <v>160</v>
      </c>
      <c r="K28" s="54">
        <f>E28/5*100</f>
        <v>120</v>
      </c>
      <c r="L28" s="54">
        <f>F28/5*100</f>
        <v>140</v>
      </c>
      <c r="M28" s="56">
        <f>G28/13*100</f>
        <v>100</v>
      </c>
      <c r="N28" s="52">
        <f>H28/80*100</f>
        <v>116.25000000000001</v>
      </c>
      <c r="P28" s="58"/>
      <c r="R28" s="88" t="s">
        <v>120</v>
      </c>
      <c r="S28" s="89">
        <v>51</v>
      </c>
      <c r="T28" s="89">
        <v>16</v>
      </c>
      <c r="U28" s="89">
        <v>6</v>
      </c>
      <c r="V28" s="89">
        <v>7</v>
      </c>
      <c r="W28" s="89">
        <v>13</v>
      </c>
      <c r="X28" s="89">
        <v>93</v>
      </c>
    </row>
    <row r="29" spans="2:24" ht="35.1" customHeight="1" thickTop="1" thickBot="1">
      <c r="B29" s="46" t="s">
        <v>89</v>
      </c>
      <c r="C29" s="53">
        <v>21</v>
      </c>
      <c r="D29" s="54">
        <v>16</v>
      </c>
      <c r="E29" s="54">
        <v>57</v>
      </c>
      <c r="F29" s="54">
        <v>10</v>
      </c>
      <c r="G29" s="55">
        <v>12</v>
      </c>
      <c r="H29" s="50">
        <f t="shared" si="0"/>
        <v>116</v>
      </c>
      <c r="I29" s="54">
        <f>C29/19*100</f>
        <v>110.5263157894737</v>
      </c>
      <c r="J29" s="54">
        <f>D29/18*100</f>
        <v>88.888888888888886</v>
      </c>
      <c r="K29" s="54">
        <f>E29/58*100</f>
        <v>98.275862068965509</v>
      </c>
      <c r="L29" s="54">
        <f>F29/10*100</f>
        <v>100</v>
      </c>
      <c r="M29" s="56">
        <f>G29/12*100</f>
        <v>100</v>
      </c>
      <c r="N29" s="52">
        <f>H29/117*100</f>
        <v>99.145299145299148</v>
      </c>
      <c r="P29" s="57"/>
      <c r="R29" s="88" t="s">
        <v>121</v>
      </c>
      <c r="S29" s="89">
        <v>21</v>
      </c>
      <c r="T29" s="89">
        <v>16</v>
      </c>
      <c r="U29" s="89">
        <v>57</v>
      </c>
      <c r="V29" s="89">
        <v>10</v>
      </c>
      <c r="W29" s="89">
        <v>12</v>
      </c>
      <c r="X29" s="89">
        <v>116</v>
      </c>
    </row>
    <row r="30" spans="2:24" ht="35.1" customHeight="1" thickTop="1" thickBot="1">
      <c r="B30" s="46" t="s">
        <v>90</v>
      </c>
      <c r="C30" s="53">
        <v>14</v>
      </c>
      <c r="D30" s="54">
        <v>8</v>
      </c>
      <c r="E30" s="54">
        <v>1</v>
      </c>
      <c r="F30" s="54">
        <v>0</v>
      </c>
      <c r="G30" s="55">
        <v>0</v>
      </c>
      <c r="H30" s="50">
        <f t="shared" si="0"/>
        <v>23</v>
      </c>
      <c r="I30" s="54">
        <f>C30/10*100</f>
        <v>140</v>
      </c>
      <c r="J30" s="54">
        <f>D30/5*100</f>
        <v>160</v>
      </c>
      <c r="K30" s="54">
        <f>E30/5*100</f>
        <v>20</v>
      </c>
      <c r="L30" s="54">
        <f>F30/5*100</f>
        <v>0</v>
      </c>
      <c r="M30" s="56">
        <f>G30/10*100</f>
        <v>0</v>
      </c>
      <c r="N30" s="52">
        <f>H30/35*100</f>
        <v>65.714285714285708</v>
      </c>
      <c r="P30" s="57"/>
      <c r="R30" s="88" t="s">
        <v>122</v>
      </c>
      <c r="S30" s="89">
        <v>14</v>
      </c>
      <c r="T30" s="89">
        <v>8</v>
      </c>
      <c r="U30" s="89">
        <v>1</v>
      </c>
      <c r="V30" s="90"/>
      <c r="W30" s="90"/>
      <c r="X30" s="89">
        <v>23</v>
      </c>
    </row>
    <row r="31" spans="2:24" ht="35.1" customHeight="1" thickTop="1" thickBot="1">
      <c r="B31" s="46" t="s">
        <v>92</v>
      </c>
      <c r="C31" s="61">
        <v>233</v>
      </c>
      <c r="D31" s="62">
        <v>174</v>
      </c>
      <c r="E31" s="62">
        <v>66</v>
      </c>
      <c r="F31" s="62">
        <v>31</v>
      </c>
      <c r="G31" s="63">
        <v>93</v>
      </c>
      <c r="H31" s="50">
        <f t="shared" si="0"/>
        <v>597</v>
      </c>
      <c r="I31" s="62">
        <f>C31/213*100</f>
        <v>109.38967136150235</v>
      </c>
      <c r="J31" s="62">
        <f>D31/123*100</f>
        <v>141.46341463414635</v>
      </c>
      <c r="K31" s="62">
        <f>E31/62*100</f>
        <v>106.45161290322579</v>
      </c>
      <c r="L31" s="62">
        <f>F31/15*100</f>
        <v>206.66666666666669</v>
      </c>
      <c r="M31" s="64">
        <f>G31/84*100</f>
        <v>110.71428571428572</v>
      </c>
      <c r="N31" s="65">
        <f>H31/497*100</f>
        <v>120.12072434607646</v>
      </c>
      <c r="P31" s="57"/>
      <c r="R31" s="88" t="s">
        <v>123</v>
      </c>
      <c r="S31" s="89">
        <v>233</v>
      </c>
      <c r="T31" s="89">
        <v>174</v>
      </c>
      <c r="U31" s="89">
        <v>66</v>
      </c>
      <c r="V31" s="89">
        <v>31</v>
      </c>
      <c r="W31" s="89">
        <v>93</v>
      </c>
      <c r="X31" s="89">
        <v>597</v>
      </c>
    </row>
    <row r="32" spans="2:24" ht="69.75" customHeight="1" thickTop="1" thickBot="1">
      <c r="B32" s="66" t="s">
        <v>93</v>
      </c>
      <c r="C32" s="67">
        <f>SUM(C11:C31)</f>
        <v>3328</v>
      </c>
      <c r="D32" s="68">
        <f>SUM(D11:D31)</f>
        <v>2939</v>
      </c>
      <c r="E32" s="69">
        <f>SUM(E11:E31)</f>
        <v>1377</v>
      </c>
      <c r="F32" s="70">
        <f>SUM(F11:F31)</f>
        <v>424</v>
      </c>
      <c r="G32" s="71">
        <f>SUM(G11:G31)</f>
        <v>806</v>
      </c>
      <c r="H32" s="72">
        <f t="shared" ref="H32" si="1">C32+D32+E32+F32+G32</f>
        <v>8874</v>
      </c>
      <c r="I32" s="73">
        <f>C32/2361*100</f>
        <v>140.95722151630665</v>
      </c>
      <c r="J32" s="74">
        <f>D32/2009*100</f>
        <v>146.29168740666998</v>
      </c>
      <c r="K32" s="75">
        <f>E32/1406*100</f>
        <v>97.937411095305833</v>
      </c>
      <c r="L32" s="76">
        <f>F32/237*100</f>
        <v>178.90295358649789</v>
      </c>
      <c r="M32" s="77">
        <f>G32/712*100</f>
        <v>113.20224719101124</v>
      </c>
      <c r="N32" s="78">
        <f>H32/6725*100</f>
        <v>131.95539033457248</v>
      </c>
      <c r="P32" s="57"/>
    </row>
    <row r="33" spans="1:16" ht="19.5" customHeight="1" thickTop="1">
      <c r="B33" s="332"/>
      <c r="C33" s="333"/>
      <c r="D33" s="333"/>
      <c r="E33" s="333"/>
      <c r="F33" s="333"/>
      <c r="G33" s="333"/>
      <c r="H33" s="333"/>
      <c r="I33" s="332"/>
      <c r="J33" s="332"/>
      <c r="K33" s="332"/>
      <c r="L33" s="332"/>
      <c r="M33" s="332"/>
      <c r="N33" s="332"/>
      <c r="O33" s="79"/>
      <c r="P33" s="58"/>
    </row>
    <row r="34" spans="1:16" ht="19.5" customHeight="1">
      <c r="A34" s="80" t="s">
        <v>124</v>
      </c>
      <c r="B34" s="81"/>
      <c r="C34" s="82"/>
      <c r="D34" s="82"/>
      <c r="E34" s="82"/>
      <c r="F34" s="82"/>
      <c r="G34" s="82"/>
      <c r="H34" s="91"/>
      <c r="I34" s="82"/>
      <c r="J34" s="82"/>
      <c r="K34" s="82"/>
      <c r="L34" s="82"/>
      <c r="M34" s="82"/>
      <c r="N34" s="82"/>
      <c r="O34" s="79"/>
      <c r="P34" s="58"/>
    </row>
    <row r="35" spans="1:16" s="83" customFormat="1" ht="15" customHeight="1">
      <c r="A35" s="80" t="s">
        <v>216</v>
      </c>
      <c r="B35" s="84"/>
      <c r="O35" s="32"/>
    </row>
    <row r="36" spans="1:16" ht="35.25">
      <c r="B36" s="334" t="s">
        <v>125</v>
      </c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</row>
    <row r="37" spans="1:16" ht="26.25">
      <c r="B37" s="85"/>
      <c r="C37" s="86"/>
      <c r="D37" s="86"/>
      <c r="E37" s="86"/>
      <c r="F37" s="86"/>
      <c r="G37" s="86"/>
      <c r="H37" s="86"/>
    </row>
    <row r="38" spans="1:16" ht="26.25">
      <c r="B38" s="85"/>
    </row>
    <row r="39" spans="1:16" ht="26.25">
      <c r="B39" s="85"/>
    </row>
    <row r="40" spans="1:16" ht="26.25">
      <c r="B40" s="85"/>
    </row>
    <row r="41" spans="1:16" ht="26.25">
      <c r="B41" s="85"/>
    </row>
    <row r="58" spans="2:8" ht="12.75">
      <c r="B58" s="335"/>
      <c r="C58" s="335"/>
      <c r="D58" s="335"/>
      <c r="E58" s="335"/>
      <c r="F58" s="335"/>
      <c r="G58" s="335"/>
      <c r="H58" s="335"/>
    </row>
  </sheetData>
  <sheetProtection selectLockedCells="1" selectUnlockedCells="1"/>
  <mergeCells count="11">
    <mergeCell ref="B33:N33"/>
    <mergeCell ref="B36:N36"/>
    <mergeCell ref="B58:H58"/>
    <mergeCell ref="B1:N1"/>
    <mergeCell ref="B2:N2"/>
    <mergeCell ref="B3:N3"/>
    <mergeCell ref="B4:N4"/>
    <mergeCell ref="B7:N7"/>
    <mergeCell ref="B9:B10"/>
    <mergeCell ref="C9:H9"/>
    <mergeCell ref="I9:N9"/>
  </mergeCells>
  <printOptions horizontalCentered="1"/>
  <pageMargins left="0.23622047244094491" right="0.23622047244094491" top="0.98425196850393704" bottom="0.51181102362204722" header="0.51181102362204722" footer="0.51181102362204722"/>
  <pageSetup paperSize="9" scale="32" firstPageNumber="0" orientation="portrait" verticalDpi="300" r:id="rId1"/>
  <headerFooter scaleWithDoc="0" alignWithMargins="0">
    <oddFooter>&amp;R&amp;"Verdana,Normale"&amp;8MINISTERO DELLA SALUTE
Direzione Generale per l'Igiene e la Sicurezza degli Alimenti e la Nutrizione
Pagina 76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7"/>
  <sheetViews>
    <sheetView zoomScale="70" zoomScaleNormal="70" zoomScaleSheetLayoutView="46" workbookViewId="0">
      <selection activeCell="A2" sqref="A2:H2"/>
    </sheetView>
  </sheetViews>
  <sheetFormatPr defaultRowHeight="12.75"/>
  <cols>
    <col min="1" max="1" width="34.85546875" style="32" customWidth="1"/>
    <col min="2" max="2" width="25.5703125" style="32" customWidth="1"/>
    <col min="3" max="3" width="18" style="32" customWidth="1"/>
    <col min="4" max="4" width="21" style="32" customWidth="1"/>
    <col min="5" max="5" width="20.7109375" style="32" customWidth="1"/>
    <col min="6" max="6" width="20.28515625" style="32" customWidth="1"/>
    <col min="7" max="7" width="20.7109375" style="32" customWidth="1"/>
    <col min="8" max="8" width="22" style="32" customWidth="1"/>
    <col min="9" max="9" width="22" style="32" hidden="1" customWidth="1"/>
    <col min="10" max="10" width="0" style="32" hidden="1" customWidth="1"/>
    <col min="11" max="11" width="12" style="32" hidden="1" customWidth="1"/>
    <col min="12" max="12" width="25.85546875" style="32" hidden="1" customWidth="1"/>
    <col min="13" max="13" width="30.28515625" style="32" hidden="1" customWidth="1"/>
    <col min="14" max="14" width="13.85546875" style="32" hidden="1" customWidth="1"/>
    <col min="15" max="27" width="0" style="32" hidden="1" customWidth="1"/>
    <col min="28" max="16384" width="9.140625" style="32"/>
  </cols>
  <sheetData>
    <row r="1" spans="1:39" ht="54" customHeight="1">
      <c r="A1" s="343" t="s">
        <v>147</v>
      </c>
      <c r="B1" s="343"/>
      <c r="C1" s="343"/>
      <c r="D1" s="343"/>
      <c r="E1" s="343"/>
      <c r="F1" s="343"/>
      <c r="G1" s="343"/>
      <c r="H1" s="343"/>
      <c r="I1" s="153"/>
    </row>
    <row r="2" spans="1:39" ht="30">
      <c r="A2" s="344" t="s">
        <v>143</v>
      </c>
      <c r="B2" s="344"/>
      <c r="C2" s="344"/>
      <c r="D2" s="344"/>
      <c r="E2" s="344"/>
      <c r="F2" s="344"/>
      <c r="G2" s="344"/>
      <c r="H2" s="344"/>
      <c r="I2" s="154"/>
    </row>
    <row r="3" spans="1:39" ht="30">
      <c r="A3" s="344">
        <v>2018</v>
      </c>
      <c r="B3" s="344"/>
      <c r="C3" s="344"/>
      <c r="D3" s="344"/>
      <c r="E3" s="344"/>
      <c r="F3" s="344"/>
      <c r="G3" s="344"/>
      <c r="H3" s="344"/>
      <c r="I3" s="154"/>
    </row>
    <row r="4" spans="1:39" ht="30">
      <c r="A4" s="154"/>
      <c r="B4" s="154"/>
      <c r="C4" s="154"/>
      <c r="D4" s="154"/>
      <c r="E4" s="154"/>
      <c r="F4" s="154"/>
      <c r="G4" s="154"/>
      <c r="H4" s="154"/>
      <c r="I4" s="154"/>
    </row>
    <row r="5" spans="1:39" ht="21" customHeight="1" thickBot="1">
      <c r="A5" s="345" t="s">
        <v>148</v>
      </c>
      <c r="B5" s="345"/>
      <c r="C5" s="345"/>
      <c r="D5" s="345"/>
      <c r="E5" s="345"/>
      <c r="F5" s="345"/>
      <c r="G5" s="345"/>
      <c r="H5" s="345"/>
      <c r="I5" s="155"/>
    </row>
    <row r="6" spans="1:39" ht="21" customHeight="1" thickTop="1" thickBot="1">
      <c r="B6" s="346" t="s">
        <v>1</v>
      </c>
      <c r="C6" s="348" t="s">
        <v>2</v>
      </c>
      <c r="D6" s="348"/>
      <c r="E6" s="348"/>
      <c r="F6" s="348"/>
      <c r="G6" s="349" t="s">
        <v>3</v>
      </c>
      <c r="H6" s="351" t="s">
        <v>4</v>
      </c>
      <c r="I6" s="156"/>
    </row>
    <row r="7" spans="1:39" ht="65.25" customHeight="1" thickTop="1" thickBot="1">
      <c r="B7" s="347"/>
      <c r="C7" s="157" t="s">
        <v>144</v>
      </c>
      <c r="D7" s="158" t="s">
        <v>145</v>
      </c>
      <c r="E7" s="159" t="s">
        <v>7</v>
      </c>
      <c r="F7" s="160" t="s">
        <v>8</v>
      </c>
      <c r="G7" s="350"/>
      <c r="H7" s="351"/>
      <c r="I7" s="156"/>
      <c r="K7" s="269"/>
      <c r="L7" s="269"/>
      <c r="M7" s="269"/>
      <c r="N7" s="269"/>
      <c r="O7" s="276"/>
      <c r="P7" s="276"/>
      <c r="Q7" s="276"/>
      <c r="R7" s="161"/>
      <c r="U7" s="162"/>
      <c r="V7" s="163"/>
      <c r="W7" s="164"/>
      <c r="Z7" s="163"/>
      <c r="AA7" s="164"/>
      <c r="AH7" s="165"/>
      <c r="AI7" s="165"/>
      <c r="AJ7" s="165"/>
      <c r="AK7" s="165"/>
      <c r="AL7" s="165"/>
      <c r="AM7" s="165"/>
    </row>
    <row r="8" spans="1:39" ht="49.5" customHeight="1" thickBot="1">
      <c r="A8" s="166" t="s">
        <v>198</v>
      </c>
      <c r="B8" s="277">
        <v>135</v>
      </c>
      <c r="C8" s="278">
        <v>13</v>
      </c>
      <c r="D8" s="279">
        <f>C8/B8*100</f>
        <v>9.6296296296296298</v>
      </c>
      <c r="E8" s="278">
        <v>120</v>
      </c>
      <c r="F8" s="279">
        <f>E8/B8*100</f>
        <v>88.888888888888886</v>
      </c>
      <c r="G8" s="278">
        <v>2</v>
      </c>
      <c r="H8" s="280">
        <f t="shared" ref="H8:H21" si="0">G8/B8*100</f>
        <v>1.4814814814814816</v>
      </c>
      <c r="I8" s="167">
        <f>D8+F8+H8</f>
        <v>100</v>
      </c>
      <c r="J8" s="107">
        <f t="shared" ref="J8:J20" si="1">C8+E8+G8</f>
        <v>135</v>
      </c>
      <c r="K8" s="270"/>
      <c r="L8" s="270"/>
      <c r="M8" s="270"/>
      <c r="N8" s="271"/>
      <c r="O8" s="271"/>
      <c r="P8" s="271"/>
      <c r="Q8" s="272"/>
      <c r="R8" s="169"/>
      <c r="U8" s="162"/>
      <c r="V8" s="163"/>
      <c r="W8" s="164"/>
      <c r="Z8" s="163"/>
      <c r="AA8" s="164"/>
      <c r="AH8" s="170"/>
      <c r="AI8" s="171"/>
      <c r="AJ8" s="170"/>
      <c r="AK8" s="171"/>
      <c r="AL8" s="171"/>
      <c r="AM8" s="171"/>
    </row>
    <row r="9" spans="1:39" ht="49.5" customHeight="1" thickBot="1">
      <c r="A9" s="172" t="s">
        <v>199</v>
      </c>
      <c r="B9" s="281">
        <v>100</v>
      </c>
      <c r="C9" s="282">
        <v>9</v>
      </c>
      <c r="D9" s="279">
        <f t="shared" ref="D9:D21" si="2">C9/B9*100</f>
        <v>9</v>
      </c>
      <c r="E9" s="282">
        <v>91</v>
      </c>
      <c r="F9" s="279">
        <f t="shared" ref="F9:F21" si="3">E9/B9*100</f>
        <v>91</v>
      </c>
      <c r="G9" s="278">
        <v>0</v>
      </c>
      <c r="H9" s="280">
        <f t="shared" si="0"/>
        <v>0</v>
      </c>
      <c r="I9" s="167">
        <f t="shared" ref="I9:I21" si="4">D9+F9+H9</f>
        <v>100</v>
      </c>
      <c r="J9" s="107">
        <f t="shared" si="1"/>
        <v>100</v>
      </c>
      <c r="K9" s="270"/>
      <c r="L9" s="270"/>
      <c r="M9" s="270"/>
      <c r="N9" s="271"/>
      <c r="O9" s="271"/>
      <c r="P9" s="271"/>
      <c r="Q9" s="272"/>
      <c r="R9" s="173"/>
      <c r="U9" s="162"/>
      <c r="V9" s="163"/>
      <c r="W9" s="164"/>
      <c r="Z9" s="163"/>
      <c r="AA9" s="164"/>
      <c r="AH9" s="170"/>
      <c r="AI9" s="171"/>
      <c r="AJ9" s="170"/>
      <c r="AK9" s="171"/>
      <c r="AL9" s="171"/>
      <c r="AM9" s="174"/>
    </row>
    <row r="10" spans="1:39" ht="49.5" customHeight="1" thickBot="1">
      <c r="A10" s="166" t="s">
        <v>200</v>
      </c>
      <c r="B10" s="281">
        <v>97</v>
      </c>
      <c r="C10" s="282">
        <v>14</v>
      </c>
      <c r="D10" s="279">
        <f t="shared" si="2"/>
        <v>14.432989690721648</v>
      </c>
      <c r="E10" s="282">
        <v>83</v>
      </c>
      <c r="F10" s="279">
        <f t="shared" si="3"/>
        <v>85.567010309278345</v>
      </c>
      <c r="G10" s="278">
        <v>0</v>
      </c>
      <c r="H10" s="280">
        <f t="shared" si="0"/>
        <v>0</v>
      </c>
      <c r="I10" s="167">
        <f t="shared" si="4"/>
        <v>100</v>
      </c>
      <c r="J10" s="107">
        <f t="shared" si="1"/>
        <v>97</v>
      </c>
      <c r="K10" s="270"/>
      <c r="L10" s="270"/>
      <c r="M10" s="270"/>
      <c r="N10" s="271"/>
      <c r="O10" s="271"/>
      <c r="P10" s="271"/>
      <c r="Q10" s="272"/>
      <c r="R10" s="173"/>
      <c r="U10" s="162"/>
      <c r="V10" s="163"/>
      <c r="W10" s="164"/>
      <c r="Z10" s="163"/>
      <c r="AA10" s="164"/>
      <c r="AH10" s="170"/>
      <c r="AI10" s="171"/>
      <c r="AJ10" s="170"/>
      <c r="AK10" s="171"/>
      <c r="AL10" s="171"/>
      <c r="AM10" s="174"/>
    </row>
    <row r="11" spans="1:39" ht="49.5" customHeight="1" thickBot="1">
      <c r="A11" s="172" t="s">
        <v>201</v>
      </c>
      <c r="B11" s="281">
        <v>96</v>
      </c>
      <c r="C11" s="282">
        <v>70</v>
      </c>
      <c r="D11" s="279">
        <f t="shared" si="2"/>
        <v>72.916666666666657</v>
      </c>
      <c r="E11" s="282">
        <v>26</v>
      </c>
      <c r="F11" s="279">
        <f t="shared" si="3"/>
        <v>27.083333333333332</v>
      </c>
      <c r="G11" s="278">
        <v>0</v>
      </c>
      <c r="H11" s="280">
        <f t="shared" si="0"/>
        <v>0</v>
      </c>
      <c r="I11" s="167">
        <f t="shared" si="4"/>
        <v>99.999999999999986</v>
      </c>
      <c r="J11" s="107">
        <f t="shared" si="1"/>
        <v>96</v>
      </c>
      <c r="K11" s="270"/>
      <c r="L11" s="270"/>
      <c r="M11" s="270"/>
      <c r="N11" s="270"/>
      <c r="O11" s="270"/>
      <c r="P11" s="270"/>
      <c r="Q11" s="270"/>
      <c r="R11" s="270"/>
      <c r="S11" s="270"/>
      <c r="U11" s="162"/>
      <c r="V11" s="163"/>
      <c r="W11" s="164"/>
      <c r="Z11" s="163"/>
      <c r="AA11" s="164"/>
      <c r="AH11" s="170"/>
      <c r="AI11" s="171"/>
      <c r="AJ11" s="170"/>
      <c r="AK11" s="171"/>
      <c r="AL11" s="171"/>
      <c r="AM11" s="174"/>
    </row>
    <row r="12" spans="1:39" ht="49.5" customHeight="1" thickBot="1">
      <c r="A12" s="166" t="s">
        <v>202</v>
      </c>
      <c r="B12" s="281">
        <v>45</v>
      </c>
      <c r="C12" s="282">
        <v>36</v>
      </c>
      <c r="D12" s="279">
        <f t="shared" si="2"/>
        <v>80</v>
      </c>
      <c r="E12" s="282">
        <v>9</v>
      </c>
      <c r="F12" s="279">
        <f t="shared" si="3"/>
        <v>20</v>
      </c>
      <c r="G12" s="278">
        <v>0</v>
      </c>
      <c r="H12" s="280">
        <f t="shared" si="0"/>
        <v>0</v>
      </c>
      <c r="I12" s="167">
        <f t="shared" si="4"/>
        <v>100</v>
      </c>
      <c r="J12" s="107">
        <f t="shared" si="1"/>
        <v>45</v>
      </c>
      <c r="K12" s="270"/>
      <c r="L12" s="270"/>
      <c r="M12" s="270"/>
      <c r="N12" s="270"/>
      <c r="O12" s="270"/>
      <c r="P12" s="270"/>
      <c r="Q12" s="270"/>
      <c r="R12" s="270"/>
      <c r="S12" s="270"/>
      <c r="U12" s="162"/>
      <c r="V12" s="163"/>
      <c r="W12" s="164"/>
      <c r="Z12" s="163"/>
      <c r="AA12" s="164"/>
      <c r="AH12" s="170"/>
      <c r="AI12" s="171"/>
      <c r="AJ12" s="170"/>
      <c r="AK12" s="171"/>
      <c r="AL12" s="171"/>
      <c r="AM12" s="171"/>
    </row>
    <row r="13" spans="1:39" ht="49.5" customHeight="1" thickBot="1">
      <c r="A13" s="172" t="s">
        <v>203</v>
      </c>
      <c r="B13" s="283">
        <v>70</v>
      </c>
      <c r="C13" s="284">
        <v>46</v>
      </c>
      <c r="D13" s="279">
        <f t="shared" si="2"/>
        <v>65.714285714285708</v>
      </c>
      <c r="E13" s="284">
        <v>24</v>
      </c>
      <c r="F13" s="279">
        <f t="shared" si="3"/>
        <v>34.285714285714285</v>
      </c>
      <c r="G13" s="278">
        <v>0</v>
      </c>
      <c r="H13" s="280">
        <f t="shared" si="0"/>
        <v>0</v>
      </c>
      <c r="I13" s="167">
        <f t="shared" si="4"/>
        <v>100</v>
      </c>
      <c r="J13" s="107">
        <f t="shared" si="1"/>
        <v>70</v>
      </c>
      <c r="K13" s="270"/>
      <c r="L13" s="270"/>
      <c r="M13" s="270"/>
      <c r="N13" s="270"/>
      <c r="O13" s="270"/>
      <c r="P13" s="270"/>
      <c r="Q13" s="270"/>
      <c r="R13" s="270"/>
      <c r="S13" s="270"/>
      <c r="U13" s="162"/>
      <c r="V13" s="163"/>
      <c r="W13" s="164"/>
      <c r="Z13" s="163"/>
      <c r="AA13" s="164"/>
      <c r="AH13" s="170"/>
      <c r="AI13" s="171"/>
      <c r="AJ13" s="170"/>
      <c r="AK13" s="171"/>
      <c r="AL13" s="174"/>
      <c r="AM13" s="174"/>
    </row>
    <row r="14" spans="1:39" ht="49.5" customHeight="1" thickBot="1">
      <c r="A14" s="166" t="s">
        <v>204</v>
      </c>
      <c r="B14" s="283">
        <v>70</v>
      </c>
      <c r="C14" s="284">
        <v>47</v>
      </c>
      <c r="D14" s="279">
        <f t="shared" si="2"/>
        <v>67.142857142857139</v>
      </c>
      <c r="E14" s="284">
        <v>23</v>
      </c>
      <c r="F14" s="279">
        <f t="shared" si="3"/>
        <v>32.857142857142854</v>
      </c>
      <c r="G14" s="278">
        <v>0</v>
      </c>
      <c r="H14" s="280">
        <f t="shared" si="0"/>
        <v>0</v>
      </c>
      <c r="I14" s="167">
        <f t="shared" si="4"/>
        <v>100</v>
      </c>
      <c r="J14" s="107">
        <f t="shared" si="1"/>
        <v>70</v>
      </c>
      <c r="K14" s="270"/>
      <c r="L14" s="270"/>
      <c r="M14" s="270"/>
      <c r="N14" s="270"/>
      <c r="O14" s="270"/>
      <c r="P14" s="270"/>
      <c r="Q14" s="270"/>
      <c r="R14" s="270"/>
      <c r="S14" s="270"/>
      <c r="U14" s="162"/>
      <c r="V14" s="163"/>
      <c r="W14" s="164"/>
      <c r="Z14" s="163"/>
      <c r="AA14" s="176"/>
      <c r="AH14" s="170"/>
      <c r="AI14" s="171"/>
      <c r="AJ14" s="170"/>
      <c r="AK14" s="171"/>
      <c r="AL14" s="174"/>
      <c r="AM14" s="174"/>
    </row>
    <row r="15" spans="1:39" ht="49.5" customHeight="1" thickBot="1">
      <c r="A15" s="177" t="s">
        <v>205</v>
      </c>
      <c r="B15" s="283">
        <v>100</v>
      </c>
      <c r="C15" s="284">
        <v>46</v>
      </c>
      <c r="D15" s="279">
        <f t="shared" si="2"/>
        <v>46</v>
      </c>
      <c r="E15" s="284">
        <v>51</v>
      </c>
      <c r="F15" s="279">
        <f t="shared" si="3"/>
        <v>51</v>
      </c>
      <c r="G15" s="278">
        <v>3</v>
      </c>
      <c r="H15" s="280">
        <f t="shared" si="0"/>
        <v>3</v>
      </c>
      <c r="I15" s="167">
        <f t="shared" si="4"/>
        <v>100</v>
      </c>
      <c r="J15" s="107">
        <f t="shared" si="1"/>
        <v>100</v>
      </c>
      <c r="K15" s="270"/>
      <c r="L15" s="270"/>
      <c r="M15" s="270"/>
      <c r="N15" s="270"/>
      <c r="O15" s="270"/>
      <c r="P15" s="270"/>
      <c r="Q15" s="270"/>
      <c r="R15" s="270"/>
      <c r="S15" s="270"/>
      <c r="U15" s="170"/>
      <c r="V15" s="171"/>
      <c r="W15" s="170"/>
      <c r="X15" s="171"/>
      <c r="Z15" s="171"/>
      <c r="AA15" s="174"/>
      <c r="AH15" s="170"/>
      <c r="AI15" s="171"/>
      <c r="AJ15" s="170"/>
      <c r="AK15" s="171"/>
      <c r="AL15" s="171"/>
      <c r="AM15" s="174"/>
    </row>
    <row r="16" spans="1:39" ht="49.5" customHeight="1" thickBot="1">
      <c r="A16" s="166" t="s">
        <v>206</v>
      </c>
      <c r="B16" s="283">
        <v>149</v>
      </c>
      <c r="C16" s="284">
        <v>107</v>
      </c>
      <c r="D16" s="279">
        <f t="shared" si="2"/>
        <v>71.812080536912745</v>
      </c>
      <c r="E16" s="284">
        <v>42</v>
      </c>
      <c r="F16" s="279">
        <f t="shared" si="3"/>
        <v>28.187919463087248</v>
      </c>
      <c r="G16" s="278">
        <v>0</v>
      </c>
      <c r="H16" s="280">
        <f t="shared" si="0"/>
        <v>0</v>
      </c>
      <c r="I16" s="167">
        <f t="shared" si="4"/>
        <v>100</v>
      </c>
      <c r="J16" s="107">
        <f t="shared" si="1"/>
        <v>149</v>
      </c>
      <c r="K16" s="270"/>
      <c r="L16" s="270"/>
      <c r="M16" s="270"/>
      <c r="N16" s="270"/>
      <c r="O16" s="270"/>
      <c r="P16" s="270"/>
      <c r="Q16" s="270"/>
      <c r="R16" s="270"/>
      <c r="S16" s="270"/>
      <c r="U16" s="170"/>
      <c r="V16" s="171"/>
      <c r="W16" s="170"/>
      <c r="X16" s="171"/>
      <c r="Z16" s="171"/>
      <c r="AA16" s="174"/>
      <c r="AH16" s="170"/>
      <c r="AI16" s="171"/>
      <c r="AJ16" s="170"/>
      <c r="AK16" s="171"/>
      <c r="AL16" s="171"/>
      <c r="AM16" s="174"/>
    </row>
    <row r="17" spans="1:39" ht="49.5" customHeight="1" thickBot="1">
      <c r="A17" s="178" t="s">
        <v>207</v>
      </c>
      <c r="B17" s="283">
        <v>159</v>
      </c>
      <c r="C17" s="284">
        <v>151</v>
      </c>
      <c r="D17" s="279">
        <f t="shared" si="2"/>
        <v>94.968553459119505</v>
      </c>
      <c r="E17" s="284">
        <v>8</v>
      </c>
      <c r="F17" s="279">
        <f t="shared" si="3"/>
        <v>5.0314465408805038</v>
      </c>
      <c r="G17" s="278">
        <v>0</v>
      </c>
      <c r="H17" s="280">
        <f t="shared" si="0"/>
        <v>0</v>
      </c>
      <c r="I17" s="167">
        <f t="shared" si="4"/>
        <v>100.00000000000001</v>
      </c>
      <c r="J17" s="107">
        <f t="shared" si="1"/>
        <v>159</v>
      </c>
      <c r="K17" s="270"/>
      <c r="L17" s="270"/>
      <c r="M17" s="270"/>
      <c r="N17" s="270"/>
      <c r="O17" s="270"/>
      <c r="P17" s="270"/>
      <c r="Q17" s="270"/>
      <c r="R17" s="270"/>
      <c r="S17" s="270"/>
      <c r="U17" s="170"/>
      <c r="V17" s="171"/>
      <c r="W17" s="170"/>
      <c r="X17" s="171"/>
      <c r="Z17" s="174"/>
      <c r="AA17" s="174"/>
      <c r="AH17" s="170"/>
      <c r="AI17" s="171"/>
      <c r="AJ17" s="170"/>
      <c r="AK17" s="171"/>
      <c r="AL17" s="171"/>
      <c r="AM17" s="174"/>
    </row>
    <row r="18" spans="1:39" ht="49.5" customHeight="1" thickBot="1">
      <c r="A18" s="179" t="s">
        <v>189</v>
      </c>
      <c r="B18" s="283">
        <v>17</v>
      </c>
      <c r="C18" s="284">
        <v>17</v>
      </c>
      <c r="D18" s="279">
        <f t="shared" si="2"/>
        <v>100</v>
      </c>
      <c r="E18" s="284">
        <v>0</v>
      </c>
      <c r="F18" s="279">
        <f t="shared" si="3"/>
        <v>0</v>
      </c>
      <c r="G18" s="278">
        <v>0</v>
      </c>
      <c r="H18" s="280">
        <f t="shared" si="0"/>
        <v>0</v>
      </c>
      <c r="I18" s="167">
        <f t="shared" si="4"/>
        <v>100</v>
      </c>
      <c r="J18" s="107">
        <f t="shared" si="1"/>
        <v>17</v>
      </c>
      <c r="K18" s="270"/>
      <c r="L18" s="270"/>
      <c r="M18" s="270"/>
      <c r="N18" s="270"/>
      <c r="O18" s="270"/>
      <c r="P18" s="270"/>
      <c r="Q18" s="270"/>
      <c r="R18" s="270"/>
      <c r="S18" s="270"/>
      <c r="AA18" s="164"/>
      <c r="AH18" s="170"/>
      <c r="AI18" s="171"/>
      <c r="AJ18" s="170"/>
      <c r="AK18" s="171"/>
      <c r="AL18" s="174"/>
      <c r="AM18" s="174"/>
    </row>
    <row r="19" spans="1:39" ht="49.5" customHeight="1" thickBot="1">
      <c r="A19" s="177" t="s">
        <v>208</v>
      </c>
      <c r="B19" s="283">
        <v>53</v>
      </c>
      <c r="C19" s="284">
        <v>53</v>
      </c>
      <c r="D19" s="279">
        <f t="shared" si="2"/>
        <v>100</v>
      </c>
      <c r="E19" s="284">
        <v>0</v>
      </c>
      <c r="F19" s="279">
        <f t="shared" si="3"/>
        <v>0</v>
      </c>
      <c r="G19" s="278">
        <v>0</v>
      </c>
      <c r="H19" s="280">
        <f t="shared" si="0"/>
        <v>0</v>
      </c>
      <c r="I19" s="167">
        <f t="shared" si="4"/>
        <v>100</v>
      </c>
      <c r="J19" s="107">
        <f t="shared" si="1"/>
        <v>53</v>
      </c>
      <c r="K19" s="270"/>
      <c r="L19" s="270"/>
      <c r="M19" s="270"/>
      <c r="N19" s="270"/>
      <c r="O19" s="270"/>
      <c r="P19" s="270"/>
      <c r="Q19" s="270"/>
      <c r="R19" s="270"/>
      <c r="S19" s="270"/>
      <c r="AA19" s="164"/>
      <c r="AH19" s="170"/>
      <c r="AI19" s="171"/>
      <c r="AJ19" s="170"/>
      <c r="AK19" s="171"/>
      <c r="AL19" s="174"/>
      <c r="AM19" s="174"/>
    </row>
    <row r="20" spans="1:39" ht="49.5" customHeight="1" thickBot="1">
      <c r="A20" s="179" t="s">
        <v>209</v>
      </c>
      <c r="B20" s="283">
        <v>57</v>
      </c>
      <c r="C20" s="284">
        <v>57</v>
      </c>
      <c r="D20" s="279">
        <f t="shared" si="2"/>
        <v>100</v>
      </c>
      <c r="E20" s="284">
        <v>0</v>
      </c>
      <c r="F20" s="279">
        <f t="shared" si="3"/>
        <v>0</v>
      </c>
      <c r="G20" s="278">
        <v>0</v>
      </c>
      <c r="H20" s="280">
        <f t="shared" si="0"/>
        <v>0</v>
      </c>
      <c r="I20" s="167">
        <f t="shared" si="4"/>
        <v>100</v>
      </c>
      <c r="J20" s="107">
        <f t="shared" si="1"/>
        <v>57</v>
      </c>
      <c r="K20" s="270"/>
      <c r="L20" s="270"/>
      <c r="M20" s="270"/>
      <c r="N20" s="270"/>
      <c r="O20" s="270"/>
      <c r="P20" s="270"/>
      <c r="Q20" s="270"/>
      <c r="R20" s="270"/>
      <c r="S20" s="270"/>
      <c r="U20" s="170"/>
      <c r="V20" s="171"/>
      <c r="W20" s="170"/>
      <c r="X20" s="171"/>
      <c r="Z20" s="171"/>
      <c r="AA20" s="174"/>
      <c r="AC20" s="162"/>
      <c r="AD20" s="162"/>
      <c r="AE20" s="162"/>
      <c r="AH20" s="170"/>
      <c r="AI20" s="171"/>
      <c r="AJ20" s="170"/>
      <c r="AK20" s="171"/>
      <c r="AL20" s="171"/>
      <c r="AM20" s="174"/>
    </row>
    <row r="21" spans="1:39" ht="43.5" customHeight="1" thickBot="1">
      <c r="A21" s="180" t="s">
        <v>146</v>
      </c>
      <c r="B21" s="123">
        <f>SUM(B8:B20)</f>
        <v>1148</v>
      </c>
      <c r="C21" s="123">
        <f>SUM(C8:C20)</f>
        <v>666</v>
      </c>
      <c r="D21" s="181">
        <f t="shared" si="2"/>
        <v>58.013937282229968</v>
      </c>
      <c r="E21" s="123">
        <f>SUM(E8:E20)</f>
        <v>477</v>
      </c>
      <c r="F21" s="125">
        <f t="shared" si="3"/>
        <v>41.550522648083621</v>
      </c>
      <c r="G21" s="123">
        <f>SUM(G8:G20)</f>
        <v>5</v>
      </c>
      <c r="H21" s="126">
        <f t="shared" si="0"/>
        <v>0.43554006968641112</v>
      </c>
      <c r="I21" s="167">
        <f t="shared" si="4"/>
        <v>100</v>
      </c>
      <c r="J21" s="107">
        <f>SUM(J8:J20)</f>
        <v>1148</v>
      </c>
      <c r="K21" s="270"/>
      <c r="L21" s="270"/>
      <c r="M21" s="270"/>
      <c r="N21" s="270"/>
      <c r="O21" s="270"/>
      <c r="P21" s="270"/>
      <c r="Q21" s="270"/>
      <c r="R21" s="270"/>
      <c r="S21" s="270"/>
      <c r="U21" s="170"/>
      <c r="V21" s="171"/>
      <c r="W21" s="170"/>
      <c r="X21" s="171"/>
      <c r="Z21" s="171"/>
      <c r="AA21" s="174"/>
      <c r="AC21" s="162"/>
      <c r="AD21" s="162"/>
      <c r="AE21" s="162"/>
      <c r="AH21" s="170"/>
      <c r="AI21" s="171"/>
      <c r="AJ21" s="170"/>
      <c r="AK21" s="171"/>
      <c r="AL21" s="171"/>
      <c r="AM21" s="174"/>
    </row>
    <row r="22" spans="1:39" ht="27.75" customHeight="1" thickTop="1">
      <c r="H22" s="182"/>
      <c r="I22" s="79"/>
      <c r="J22" s="183"/>
      <c r="K22" s="270"/>
      <c r="L22" s="270"/>
      <c r="M22" s="270"/>
      <c r="N22" s="270"/>
      <c r="O22" s="270"/>
      <c r="P22" s="270"/>
      <c r="Q22" s="270"/>
      <c r="R22" s="270"/>
      <c r="S22" s="270"/>
      <c r="U22" s="162"/>
      <c r="V22" s="163"/>
      <c r="W22" s="176"/>
      <c r="X22" s="163"/>
      <c r="Z22" s="163"/>
      <c r="AA22" s="164"/>
      <c r="AC22" s="162"/>
      <c r="AD22" s="162"/>
      <c r="AE22" s="162"/>
      <c r="AH22" s="170"/>
      <c r="AI22" s="171"/>
      <c r="AJ22" s="170"/>
      <c r="AK22" s="171"/>
      <c r="AL22" s="174"/>
      <c r="AM22" s="174"/>
    </row>
    <row r="23" spans="1:39" ht="27.75" customHeight="1">
      <c r="A23" s="184"/>
      <c r="H23" s="79"/>
      <c r="I23" s="79"/>
      <c r="J23" s="107"/>
      <c r="K23" s="270"/>
      <c r="L23" s="270"/>
      <c r="M23" s="270"/>
      <c r="N23" s="270"/>
      <c r="O23" s="270"/>
      <c r="P23" s="270"/>
      <c r="Q23" s="270"/>
      <c r="R23" s="270"/>
      <c r="S23" s="270"/>
      <c r="U23" s="162"/>
      <c r="V23" s="163"/>
      <c r="W23" s="164"/>
      <c r="Z23" s="163"/>
      <c r="AA23" s="164"/>
      <c r="AC23" s="162"/>
      <c r="AD23" s="162"/>
      <c r="AE23" s="162"/>
      <c r="AH23" s="170"/>
      <c r="AI23" s="171"/>
      <c r="AJ23" s="170"/>
      <c r="AK23" s="171"/>
      <c r="AL23" s="174"/>
      <c r="AM23" s="174"/>
    </row>
    <row r="24" spans="1:39" ht="27.75" customHeight="1">
      <c r="K24" s="270"/>
      <c r="L24" s="270"/>
      <c r="M24" s="270"/>
      <c r="N24" s="270"/>
      <c r="O24" s="270"/>
      <c r="P24" s="270"/>
      <c r="Q24" s="270"/>
      <c r="R24" s="270"/>
      <c r="S24" s="270"/>
      <c r="U24" s="162"/>
      <c r="V24" s="163"/>
      <c r="W24" s="164"/>
      <c r="Z24" s="163"/>
      <c r="AA24" s="164"/>
      <c r="AC24" s="162"/>
      <c r="AD24" s="162"/>
      <c r="AE24" s="162"/>
      <c r="AH24" s="170"/>
      <c r="AI24" s="171"/>
      <c r="AJ24" s="170"/>
      <c r="AK24" s="171"/>
      <c r="AL24" s="171"/>
      <c r="AM24" s="171"/>
    </row>
    <row r="25" spans="1:39" ht="27.75" customHeight="1">
      <c r="K25" s="270"/>
      <c r="L25" s="270"/>
      <c r="M25" s="270"/>
      <c r="N25" s="270"/>
      <c r="O25" s="270"/>
      <c r="P25" s="270"/>
      <c r="Q25" s="270"/>
      <c r="R25" s="270"/>
      <c r="S25" s="270"/>
      <c r="U25" s="162"/>
      <c r="V25" s="163"/>
      <c r="W25" s="164"/>
      <c r="Z25" s="163"/>
      <c r="AA25" s="164"/>
      <c r="AC25" s="162"/>
      <c r="AD25" s="162"/>
      <c r="AE25" s="162"/>
      <c r="AH25" s="170"/>
      <c r="AI25" s="171"/>
      <c r="AJ25" s="170"/>
      <c r="AK25" s="171"/>
      <c r="AL25" s="171"/>
      <c r="AM25" s="174"/>
    </row>
    <row r="26" spans="1:39" ht="15">
      <c r="K26" s="270"/>
      <c r="L26" s="270"/>
      <c r="M26" s="270"/>
      <c r="N26" s="270"/>
      <c r="O26" s="270"/>
      <c r="P26" s="270"/>
      <c r="Q26" s="270"/>
      <c r="R26" s="270"/>
      <c r="S26" s="270"/>
      <c r="U26" s="162"/>
      <c r="V26" s="163"/>
      <c r="W26" s="164"/>
      <c r="Z26" s="163"/>
      <c r="AA26" s="163"/>
      <c r="AC26" s="162"/>
      <c r="AD26" s="162"/>
      <c r="AE26" s="162"/>
      <c r="AH26" s="170"/>
      <c r="AI26" s="171"/>
      <c r="AJ26" s="170"/>
      <c r="AK26" s="171"/>
      <c r="AL26" s="171"/>
      <c r="AM26" s="174"/>
    </row>
    <row r="27" spans="1:39" ht="15">
      <c r="K27" s="270"/>
      <c r="L27" s="270"/>
      <c r="M27" s="270"/>
      <c r="N27" s="270"/>
      <c r="O27" s="270"/>
      <c r="P27" s="270"/>
      <c r="Q27" s="270"/>
      <c r="R27" s="270"/>
      <c r="S27" s="270"/>
      <c r="U27" s="162"/>
      <c r="V27" s="163"/>
      <c r="W27" s="164"/>
      <c r="Z27" s="163"/>
      <c r="AA27" s="164"/>
      <c r="AC27" s="162"/>
      <c r="AD27" s="162"/>
      <c r="AE27" s="162"/>
      <c r="AH27" s="170"/>
      <c r="AI27" s="171"/>
      <c r="AJ27" s="170"/>
      <c r="AK27" s="171"/>
      <c r="AL27" s="171"/>
      <c r="AM27" s="174"/>
    </row>
    <row r="28" spans="1:39" ht="15">
      <c r="J28" s="185"/>
      <c r="K28" s="270"/>
      <c r="L28" s="270"/>
      <c r="M28" s="270"/>
      <c r="N28" s="270"/>
      <c r="O28" s="270"/>
      <c r="P28" s="270"/>
      <c r="Q28" s="270"/>
      <c r="R28" s="270"/>
      <c r="S28" s="270"/>
      <c r="U28" s="162"/>
      <c r="V28" s="163"/>
      <c r="W28" s="164"/>
      <c r="Z28" s="163"/>
      <c r="AA28" s="164"/>
    </row>
    <row r="29" spans="1:39" ht="15">
      <c r="J29" s="185"/>
      <c r="K29" s="270"/>
      <c r="L29" s="270"/>
      <c r="M29" s="270"/>
      <c r="N29" s="270"/>
      <c r="O29" s="270"/>
      <c r="P29" s="270"/>
      <c r="Q29" s="270"/>
      <c r="R29" s="270"/>
      <c r="S29" s="270"/>
      <c r="U29" s="162"/>
      <c r="V29" s="163"/>
      <c r="W29" s="164"/>
      <c r="Z29" s="163"/>
      <c r="AA29" s="164"/>
    </row>
    <row r="30" spans="1:39" ht="15">
      <c r="J30" s="185"/>
      <c r="K30" s="270"/>
      <c r="L30" s="270"/>
      <c r="M30" s="270"/>
      <c r="N30" s="270"/>
      <c r="O30" s="270"/>
      <c r="P30" s="270"/>
      <c r="Q30" s="270"/>
      <c r="R30" s="270"/>
      <c r="S30" s="270"/>
      <c r="U30" s="162"/>
      <c r="V30" s="163"/>
      <c r="W30" s="164"/>
      <c r="Z30" s="163"/>
      <c r="AA30" s="163"/>
    </row>
    <row r="31" spans="1:39" ht="15">
      <c r="K31" s="270"/>
      <c r="L31" s="270"/>
      <c r="M31" s="270"/>
      <c r="N31" s="270"/>
      <c r="O31" s="270"/>
      <c r="P31" s="270"/>
      <c r="Q31" s="270"/>
      <c r="R31" s="270"/>
      <c r="S31" s="270"/>
      <c r="U31" s="162"/>
      <c r="V31" s="163"/>
      <c r="W31" s="164"/>
      <c r="Z31" s="163"/>
      <c r="AA31" s="164"/>
    </row>
    <row r="32" spans="1:39" ht="15">
      <c r="K32" s="175"/>
      <c r="L32" s="270"/>
      <c r="M32" s="270"/>
      <c r="N32" s="270"/>
      <c r="O32" s="270"/>
      <c r="P32" s="270"/>
      <c r="Q32" s="270"/>
      <c r="R32" s="270"/>
      <c r="S32" s="270"/>
      <c r="U32" s="162"/>
      <c r="V32" s="163"/>
      <c r="W32" s="164"/>
      <c r="Z32" s="163"/>
      <c r="AA32" s="164"/>
    </row>
    <row r="33" spans="1:27" ht="15">
      <c r="K33" s="168"/>
      <c r="L33" s="270"/>
      <c r="M33" s="270"/>
      <c r="N33" s="270"/>
      <c r="O33" s="270"/>
      <c r="P33" s="270"/>
      <c r="Q33" s="270"/>
      <c r="R33" s="270"/>
      <c r="S33" s="270"/>
      <c r="U33" s="162"/>
      <c r="V33" s="163"/>
      <c r="W33" s="163"/>
      <c r="Z33" s="163"/>
      <c r="AA33" s="163"/>
    </row>
    <row r="34" spans="1:27" ht="15">
      <c r="K34" s="168"/>
      <c r="L34" s="270"/>
      <c r="M34" s="270"/>
      <c r="N34" s="270"/>
      <c r="O34" s="270"/>
      <c r="P34" s="270"/>
      <c r="Q34" s="270"/>
      <c r="R34" s="270"/>
      <c r="S34" s="270"/>
      <c r="U34" s="162"/>
      <c r="V34" s="163"/>
      <c r="W34" s="164"/>
      <c r="Z34" s="163"/>
      <c r="AA34" s="163"/>
    </row>
    <row r="35" spans="1:27" ht="15">
      <c r="K35" s="168"/>
      <c r="L35" s="270"/>
      <c r="M35" s="270"/>
      <c r="N35" s="270"/>
      <c r="O35" s="270"/>
      <c r="P35" s="270"/>
      <c r="Q35" s="270"/>
      <c r="R35" s="270"/>
      <c r="S35" s="270"/>
      <c r="U35" s="162"/>
      <c r="V35" s="163"/>
      <c r="W35" s="164"/>
      <c r="Z35" s="163"/>
      <c r="AA35" s="164"/>
    </row>
    <row r="36" spans="1:27" ht="15">
      <c r="K36" s="168"/>
      <c r="L36" s="270"/>
      <c r="M36" s="270"/>
      <c r="N36" s="270"/>
      <c r="O36" s="270"/>
      <c r="P36" s="270"/>
      <c r="Q36" s="270"/>
      <c r="R36" s="270"/>
      <c r="S36" s="270"/>
      <c r="U36" s="162"/>
      <c r="V36" s="163"/>
      <c r="W36" s="164"/>
      <c r="Z36" s="163"/>
      <c r="AA36" s="164"/>
    </row>
    <row r="37" spans="1:27" ht="15">
      <c r="L37" s="270"/>
      <c r="M37" s="270"/>
      <c r="N37" s="270"/>
      <c r="O37" s="270"/>
      <c r="P37" s="270"/>
      <c r="Q37" s="270"/>
      <c r="R37" s="270"/>
      <c r="S37" s="270"/>
      <c r="U37" s="162"/>
      <c r="V37" s="163"/>
      <c r="W37" s="164"/>
      <c r="Z37" s="163"/>
      <c r="AA37" s="164"/>
    </row>
    <row r="38" spans="1:27" ht="15">
      <c r="L38" s="270"/>
      <c r="M38" s="270"/>
      <c r="N38" s="270"/>
      <c r="O38" s="270"/>
      <c r="P38" s="270"/>
      <c r="Q38" s="270"/>
      <c r="R38" s="270"/>
      <c r="S38" s="270"/>
      <c r="U38" s="162"/>
      <c r="V38" s="163"/>
      <c r="W38" s="164"/>
      <c r="Z38" s="163"/>
      <c r="AA38" s="164"/>
    </row>
    <row r="39" spans="1:27" ht="15">
      <c r="A39" s="331"/>
      <c r="B39" s="331"/>
      <c r="C39" s="331"/>
      <c r="D39" s="331"/>
      <c r="E39" s="331"/>
      <c r="F39" s="331"/>
      <c r="G39" s="331"/>
      <c r="H39" s="331"/>
      <c r="I39" s="186"/>
      <c r="L39" s="270"/>
      <c r="M39" s="270"/>
      <c r="N39" s="270"/>
      <c r="O39" s="270"/>
      <c r="P39" s="270"/>
      <c r="Q39" s="270"/>
      <c r="R39" s="270"/>
      <c r="S39" s="270"/>
      <c r="U39" s="162"/>
      <c r="V39" s="163"/>
      <c r="W39" s="164"/>
      <c r="Z39" s="163"/>
      <c r="AA39" s="164"/>
    </row>
    <row r="40" spans="1:27" ht="15">
      <c r="A40" s="133"/>
      <c r="B40" s="133"/>
      <c r="C40" s="133"/>
      <c r="D40" s="133"/>
      <c r="E40" s="133"/>
      <c r="F40" s="133"/>
      <c r="G40" s="133"/>
      <c r="H40" s="133"/>
      <c r="I40" s="133"/>
      <c r="L40" s="270"/>
      <c r="M40" s="270"/>
      <c r="N40" s="270"/>
      <c r="O40" s="270"/>
      <c r="P40" s="270"/>
      <c r="Q40" s="270"/>
      <c r="R40" s="270"/>
      <c r="S40" s="270"/>
      <c r="U40" s="162"/>
      <c r="V40" s="163"/>
      <c r="W40" s="164"/>
      <c r="Z40" s="163"/>
      <c r="AA40" s="164"/>
    </row>
    <row r="41" spans="1:27" ht="15">
      <c r="A41" s="133"/>
      <c r="B41" s="133"/>
      <c r="C41" s="133"/>
      <c r="D41" s="133"/>
      <c r="E41" s="133"/>
      <c r="F41" s="133"/>
      <c r="G41" s="133"/>
      <c r="H41" s="133"/>
      <c r="I41" s="133"/>
      <c r="L41" s="270"/>
      <c r="M41" s="270"/>
      <c r="N41" s="270"/>
      <c r="O41" s="270"/>
      <c r="P41" s="270"/>
      <c r="Q41" s="270"/>
      <c r="R41" s="270"/>
      <c r="S41" s="270"/>
      <c r="U41" s="162"/>
      <c r="V41" s="163"/>
      <c r="W41" s="164"/>
      <c r="Z41" s="163"/>
      <c r="AA41" s="164"/>
    </row>
    <row r="42" spans="1:27" ht="15">
      <c r="A42" s="133"/>
      <c r="B42" s="133"/>
      <c r="C42" s="133"/>
      <c r="D42" s="133"/>
      <c r="E42" s="133"/>
      <c r="F42" s="133"/>
      <c r="G42" s="133"/>
      <c r="H42" s="133"/>
      <c r="I42" s="133"/>
      <c r="L42" s="270"/>
      <c r="M42" s="270"/>
      <c r="N42" s="270"/>
      <c r="O42" s="270"/>
      <c r="P42" s="270"/>
      <c r="Q42" s="270"/>
      <c r="R42" s="270"/>
      <c r="S42" s="270"/>
      <c r="U42" s="162"/>
      <c r="V42" s="163"/>
      <c r="W42" s="164"/>
      <c r="Z42" s="163"/>
      <c r="AA42" s="164"/>
    </row>
    <row r="43" spans="1:27" ht="15">
      <c r="A43" s="133"/>
      <c r="B43" s="133"/>
      <c r="C43" s="133"/>
      <c r="D43" s="133"/>
      <c r="E43" s="133"/>
      <c r="F43" s="133"/>
      <c r="G43" s="133"/>
      <c r="H43" s="133"/>
      <c r="I43" s="133"/>
      <c r="L43" s="270"/>
      <c r="M43" s="270"/>
      <c r="N43" s="270"/>
      <c r="O43" s="270"/>
      <c r="P43" s="270"/>
      <c r="Q43" s="270"/>
      <c r="R43" s="270"/>
      <c r="S43" s="270"/>
      <c r="U43" s="162"/>
      <c r="V43" s="163"/>
      <c r="W43" s="164"/>
      <c r="Z43" s="163"/>
      <c r="AA43" s="164"/>
    </row>
    <row r="44" spans="1:27" ht="15">
      <c r="A44" s="133"/>
      <c r="B44" s="133"/>
      <c r="C44" s="133"/>
      <c r="D44" s="133"/>
      <c r="E44" s="133"/>
      <c r="F44" s="133"/>
      <c r="G44" s="133"/>
      <c r="H44" s="133"/>
      <c r="I44" s="133"/>
      <c r="L44" s="270"/>
      <c r="M44" s="270"/>
      <c r="N44" s="270"/>
      <c r="O44" s="270"/>
      <c r="P44" s="270"/>
      <c r="Q44" s="270"/>
      <c r="R44" s="270"/>
      <c r="S44" s="270"/>
      <c r="U44" s="162"/>
      <c r="V44" s="163"/>
      <c r="W44" s="164"/>
      <c r="Z44" s="163"/>
      <c r="AA44" s="164"/>
    </row>
    <row r="45" spans="1:27" ht="15">
      <c r="A45" s="133"/>
      <c r="B45" s="133"/>
      <c r="C45" s="133"/>
      <c r="D45" s="133"/>
      <c r="E45" s="133"/>
      <c r="F45" s="133"/>
      <c r="G45" s="133"/>
      <c r="H45" s="133"/>
      <c r="I45" s="133"/>
      <c r="L45" s="270"/>
      <c r="M45" s="270"/>
      <c r="N45" s="270"/>
      <c r="O45" s="270"/>
      <c r="P45" s="270"/>
      <c r="Q45" s="270"/>
      <c r="R45" s="270"/>
      <c r="S45" s="270"/>
      <c r="U45" s="162"/>
      <c r="V45" s="163"/>
      <c r="W45" s="164"/>
      <c r="Z45" s="163"/>
      <c r="AA45" s="164"/>
    </row>
    <row r="46" spans="1:27" ht="15">
      <c r="L46" s="270"/>
      <c r="M46" s="270"/>
      <c r="N46" s="270"/>
      <c r="O46" s="270"/>
      <c r="P46" s="270"/>
      <c r="Q46" s="270"/>
      <c r="R46" s="270"/>
      <c r="S46" s="270"/>
      <c r="U46" s="162"/>
      <c r="V46" s="163"/>
      <c r="W46" s="164"/>
      <c r="Z46" s="163"/>
      <c r="AA46" s="164"/>
    </row>
    <row r="47" spans="1:27" ht="15">
      <c r="A47" s="319"/>
      <c r="B47" s="319"/>
      <c r="C47" s="319"/>
      <c r="D47" s="319"/>
      <c r="E47" s="319"/>
      <c r="F47" s="319"/>
      <c r="G47" s="319"/>
      <c r="H47" s="319"/>
      <c r="I47" s="187"/>
      <c r="L47" s="270"/>
      <c r="M47" s="270"/>
      <c r="N47" s="270"/>
      <c r="O47" s="270"/>
      <c r="P47" s="270"/>
      <c r="Q47" s="270"/>
      <c r="R47" s="270"/>
      <c r="S47" s="270"/>
      <c r="U47" s="162"/>
      <c r="V47" s="163"/>
      <c r="W47" s="164"/>
      <c r="Z47" s="163"/>
      <c r="AA47" s="164"/>
    </row>
    <row r="48" spans="1:27" ht="15">
      <c r="B48" s="133"/>
      <c r="C48" s="133"/>
      <c r="D48" s="133"/>
      <c r="E48" s="133"/>
      <c r="F48" s="133"/>
      <c r="G48" s="133"/>
      <c r="H48" s="133"/>
      <c r="I48" s="133"/>
      <c r="L48" s="270"/>
      <c r="M48" s="270"/>
      <c r="N48" s="270"/>
      <c r="O48" s="270"/>
      <c r="P48" s="270"/>
      <c r="Q48" s="270"/>
      <c r="R48" s="270"/>
      <c r="S48" s="270"/>
      <c r="U48" s="162"/>
      <c r="V48" s="163"/>
      <c r="W48" s="164"/>
      <c r="Z48" s="163"/>
      <c r="AA48" s="164"/>
    </row>
    <row r="49" spans="1:27" ht="15">
      <c r="B49" s="133"/>
      <c r="C49" s="133"/>
      <c r="D49" s="133"/>
      <c r="E49" s="133"/>
      <c r="F49" s="133"/>
      <c r="G49" s="133"/>
      <c r="H49" s="133"/>
      <c r="I49" s="133"/>
      <c r="L49" s="270"/>
      <c r="M49" s="270"/>
      <c r="N49" s="270"/>
      <c r="O49" s="270"/>
      <c r="P49" s="270"/>
      <c r="Q49" s="270"/>
      <c r="R49" s="270"/>
      <c r="S49" s="270"/>
      <c r="U49" s="162"/>
      <c r="V49" s="163"/>
      <c r="W49" s="164"/>
      <c r="Z49" s="163"/>
      <c r="AA49" s="164"/>
    </row>
    <row r="50" spans="1:27" ht="21" customHeight="1">
      <c r="A50" s="319"/>
      <c r="B50" s="319"/>
      <c r="C50" s="319"/>
      <c r="D50" s="319"/>
      <c r="E50" s="319"/>
      <c r="F50" s="319"/>
      <c r="G50" s="319"/>
      <c r="H50" s="319"/>
      <c r="I50" s="187"/>
      <c r="L50" s="270"/>
      <c r="M50" s="270"/>
      <c r="N50" s="270"/>
      <c r="O50" s="270"/>
      <c r="P50" s="270"/>
      <c r="Q50" s="270"/>
      <c r="R50" s="270"/>
      <c r="S50" s="270"/>
      <c r="U50" s="162"/>
      <c r="V50" s="163"/>
      <c r="W50" s="164"/>
      <c r="Z50" s="163"/>
      <c r="AA50" s="163"/>
    </row>
    <row r="51" spans="1:27" ht="15">
      <c r="L51" s="270"/>
      <c r="M51" s="270"/>
      <c r="N51" s="270"/>
      <c r="O51" s="270"/>
      <c r="P51" s="270"/>
      <c r="Q51" s="270"/>
      <c r="R51" s="270"/>
      <c r="S51" s="270"/>
      <c r="U51" s="162"/>
      <c r="V51" s="163"/>
      <c r="W51" s="164"/>
      <c r="Z51" s="163"/>
      <c r="AA51" s="164"/>
    </row>
    <row r="52" spans="1:27" ht="15">
      <c r="L52" s="270"/>
      <c r="M52" s="270"/>
      <c r="N52" s="270"/>
      <c r="O52" s="270"/>
      <c r="P52" s="270"/>
      <c r="Q52" s="270"/>
      <c r="R52" s="270"/>
      <c r="S52" s="270"/>
      <c r="U52" s="162"/>
      <c r="V52" s="163"/>
      <c r="W52" s="164"/>
      <c r="Z52" s="163"/>
      <c r="AA52" s="164"/>
    </row>
    <row r="53" spans="1:27" ht="15">
      <c r="L53" s="270"/>
      <c r="M53" s="270"/>
      <c r="N53" s="270"/>
      <c r="O53" s="270"/>
      <c r="P53" s="270"/>
      <c r="Q53" s="270"/>
      <c r="R53" s="270"/>
      <c r="S53" s="270"/>
      <c r="U53" s="162"/>
      <c r="V53" s="163"/>
      <c r="W53" s="164"/>
      <c r="Z53" s="163"/>
      <c r="AA53" s="164"/>
    </row>
    <row r="54" spans="1:27" ht="15">
      <c r="L54" s="270"/>
      <c r="M54" s="270"/>
      <c r="N54" s="270"/>
      <c r="O54" s="270"/>
      <c r="P54" s="270"/>
      <c r="Q54" s="270"/>
      <c r="R54" s="270"/>
      <c r="S54" s="270"/>
      <c r="U54" s="162"/>
      <c r="V54" s="163"/>
      <c r="W54" s="164"/>
      <c r="Z54" s="163"/>
      <c r="AA54" s="163"/>
    </row>
    <row r="55" spans="1:27" ht="15">
      <c r="L55" s="270"/>
      <c r="M55" s="270"/>
      <c r="N55" s="270"/>
      <c r="O55" s="270"/>
      <c r="P55" s="270"/>
      <c r="Q55" s="270"/>
      <c r="R55" s="270"/>
      <c r="S55" s="270"/>
      <c r="U55" s="162"/>
      <c r="V55" s="163"/>
      <c r="W55" s="164"/>
      <c r="Z55" s="163"/>
      <c r="AA55" s="164"/>
    </row>
    <row r="56" spans="1:27" ht="15">
      <c r="L56" s="270"/>
      <c r="M56" s="270"/>
      <c r="N56" s="270"/>
      <c r="O56" s="270"/>
      <c r="P56" s="270"/>
      <c r="Q56" s="270"/>
      <c r="R56" s="270"/>
      <c r="S56" s="270"/>
      <c r="U56" s="162"/>
      <c r="V56" s="163"/>
      <c r="W56" s="163"/>
      <c r="Z56" s="163"/>
      <c r="AA56" s="163"/>
    </row>
    <row r="57" spans="1:27" ht="15">
      <c r="L57" s="270"/>
      <c r="M57" s="270"/>
      <c r="N57" s="270"/>
      <c r="O57" s="270"/>
      <c r="P57" s="270"/>
      <c r="Q57" s="270"/>
      <c r="R57" s="270"/>
      <c r="S57" s="270"/>
      <c r="U57" s="162"/>
      <c r="V57" s="163"/>
      <c r="W57" s="164"/>
      <c r="Z57" s="163"/>
      <c r="AA57" s="164"/>
    </row>
    <row r="58" spans="1:27" ht="15">
      <c r="L58" s="270"/>
      <c r="M58" s="270"/>
      <c r="N58" s="270"/>
      <c r="O58" s="270"/>
      <c r="P58" s="270"/>
      <c r="Q58" s="270"/>
      <c r="R58" s="270"/>
      <c r="S58" s="270"/>
      <c r="U58" s="162"/>
      <c r="V58" s="163"/>
      <c r="W58" s="164"/>
      <c r="Z58" s="163"/>
      <c r="AA58" s="164"/>
    </row>
    <row r="59" spans="1:27" ht="15">
      <c r="L59" s="270"/>
      <c r="M59" s="270"/>
      <c r="N59" s="270"/>
      <c r="O59" s="270"/>
      <c r="P59" s="270"/>
      <c r="Q59" s="270"/>
      <c r="R59" s="270"/>
      <c r="S59" s="270"/>
      <c r="U59" s="162"/>
      <c r="V59" s="163"/>
      <c r="W59" s="164"/>
      <c r="Z59" s="163"/>
      <c r="AA59" s="164"/>
    </row>
    <row r="60" spans="1:27" ht="15">
      <c r="L60" s="270"/>
      <c r="M60" s="270"/>
      <c r="N60" s="270"/>
      <c r="O60" s="270"/>
      <c r="P60" s="270"/>
      <c r="Q60" s="270"/>
      <c r="R60" s="270"/>
      <c r="S60" s="270"/>
      <c r="U60" s="162"/>
      <c r="V60" s="163"/>
      <c r="W60" s="164"/>
      <c r="Z60" s="163"/>
      <c r="AA60" s="164"/>
    </row>
    <row r="61" spans="1:27" ht="15">
      <c r="L61" s="270"/>
      <c r="M61" s="270"/>
      <c r="N61" s="270"/>
      <c r="O61" s="270"/>
      <c r="P61" s="270"/>
      <c r="Q61" s="270"/>
      <c r="R61" s="270"/>
      <c r="S61" s="270"/>
      <c r="U61" s="162"/>
      <c r="V61" s="163"/>
      <c r="W61" s="164"/>
      <c r="Z61" s="164"/>
      <c r="AA61" s="163"/>
    </row>
    <row r="62" spans="1:27" ht="15">
      <c r="L62" s="270"/>
      <c r="M62" s="270"/>
      <c r="N62" s="270"/>
      <c r="O62" s="270"/>
      <c r="P62" s="270"/>
      <c r="Q62" s="270"/>
      <c r="R62" s="270"/>
      <c r="S62" s="270"/>
      <c r="U62" s="162"/>
      <c r="V62" s="163"/>
      <c r="W62" s="164"/>
      <c r="Z62" s="163"/>
      <c r="AA62" s="163"/>
    </row>
    <row r="63" spans="1:27" ht="15">
      <c r="L63" s="270"/>
      <c r="M63" s="270"/>
      <c r="N63" s="270"/>
      <c r="O63" s="270"/>
      <c r="P63" s="270"/>
      <c r="Q63" s="270"/>
      <c r="R63" s="270"/>
      <c r="S63" s="270"/>
      <c r="U63" s="162"/>
      <c r="V63" s="163"/>
      <c r="W63" s="164"/>
      <c r="Z63" s="163"/>
      <c r="AA63" s="163"/>
    </row>
    <row r="64" spans="1:27" ht="15">
      <c r="A64" s="331"/>
      <c r="B64" s="331"/>
      <c r="C64" s="331"/>
      <c r="D64" s="331"/>
      <c r="E64" s="331"/>
      <c r="F64" s="331"/>
      <c r="G64" s="331"/>
      <c r="H64" s="331"/>
      <c r="I64" s="186"/>
      <c r="L64" s="270"/>
      <c r="M64" s="270"/>
      <c r="N64" s="270"/>
      <c r="O64" s="270"/>
      <c r="P64" s="270"/>
      <c r="Q64" s="270"/>
      <c r="R64" s="270"/>
      <c r="S64" s="270"/>
      <c r="U64" s="162"/>
      <c r="V64" s="163"/>
      <c r="W64" s="164"/>
      <c r="Z64" s="163"/>
      <c r="AA64" s="163"/>
    </row>
    <row r="65" spans="1:27" ht="15">
      <c r="A65" s="133"/>
      <c r="B65" s="133"/>
      <c r="C65" s="133"/>
      <c r="D65" s="133"/>
      <c r="E65" s="133"/>
      <c r="F65" s="133"/>
      <c r="G65" s="133"/>
      <c r="H65" s="133"/>
      <c r="I65" s="133"/>
      <c r="L65" s="270"/>
      <c r="M65" s="270"/>
      <c r="N65" s="270"/>
      <c r="O65" s="270"/>
      <c r="P65" s="270"/>
      <c r="Q65" s="270"/>
      <c r="R65" s="270"/>
      <c r="S65" s="270"/>
      <c r="U65" s="162"/>
      <c r="V65" s="163"/>
      <c r="W65" s="164"/>
      <c r="Z65" s="163"/>
      <c r="AA65" s="164"/>
    </row>
    <row r="66" spans="1:27" ht="15">
      <c r="A66" s="133"/>
      <c r="B66" s="133"/>
      <c r="C66" s="133"/>
      <c r="D66" s="133"/>
      <c r="E66" s="133"/>
      <c r="F66" s="133"/>
      <c r="G66" s="133"/>
      <c r="H66" s="133"/>
      <c r="I66" s="133"/>
      <c r="L66" s="270"/>
      <c r="M66" s="270"/>
      <c r="N66" s="270"/>
      <c r="O66" s="270"/>
      <c r="P66" s="270"/>
      <c r="Q66" s="270"/>
      <c r="R66" s="270"/>
      <c r="S66" s="270"/>
      <c r="U66" s="162"/>
      <c r="V66" s="163"/>
      <c r="W66" s="164"/>
      <c r="Z66" s="163"/>
      <c r="AA66" s="163"/>
    </row>
    <row r="67" spans="1:27" ht="15">
      <c r="A67" s="133"/>
      <c r="B67" s="133"/>
      <c r="C67" s="133"/>
      <c r="D67" s="133"/>
      <c r="E67" s="133"/>
      <c r="F67" s="133"/>
      <c r="G67" s="133"/>
      <c r="H67" s="133"/>
      <c r="I67" s="133"/>
      <c r="L67" s="270"/>
      <c r="M67" s="270"/>
      <c r="N67" s="270"/>
      <c r="O67" s="270"/>
      <c r="P67" s="270"/>
      <c r="Q67" s="270"/>
      <c r="R67" s="270"/>
      <c r="S67" s="270"/>
      <c r="U67" s="162"/>
      <c r="V67" s="163"/>
      <c r="W67" s="164"/>
      <c r="Z67" s="163"/>
      <c r="AA67" s="164"/>
    </row>
    <row r="68" spans="1:27" ht="15">
      <c r="A68" s="133"/>
      <c r="B68" s="133"/>
      <c r="C68" s="133"/>
      <c r="D68" s="133"/>
      <c r="E68" s="133"/>
      <c r="F68" s="133"/>
      <c r="G68" s="133"/>
      <c r="H68" s="133"/>
      <c r="I68" s="133"/>
      <c r="L68" s="270"/>
      <c r="M68" s="270"/>
      <c r="N68" s="270"/>
      <c r="O68" s="270"/>
      <c r="P68" s="270"/>
      <c r="Q68" s="270"/>
      <c r="R68" s="270"/>
      <c r="S68" s="270"/>
      <c r="U68" s="162"/>
      <c r="V68" s="163"/>
      <c r="W68" s="164"/>
      <c r="Z68" s="163"/>
      <c r="AA68" s="163"/>
    </row>
    <row r="69" spans="1:27" ht="15">
      <c r="A69" s="133"/>
      <c r="B69" s="133"/>
      <c r="C69" s="133"/>
      <c r="D69" s="133"/>
      <c r="E69" s="133"/>
      <c r="F69" s="133"/>
      <c r="G69" s="133"/>
      <c r="H69" s="133"/>
      <c r="I69" s="133"/>
      <c r="L69" s="270"/>
      <c r="M69" s="270"/>
      <c r="N69" s="270"/>
      <c r="O69" s="270"/>
      <c r="P69" s="270"/>
      <c r="Q69" s="270"/>
      <c r="R69" s="270"/>
      <c r="S69" s="270"/>
      <c r="U69" s="162"/>
      <c r="V69" s="163"/>
      <c r="W69" s="164"/>
      <c r="Z69" s="163"/>
      <c r="AA69" s="164"/>
    </row>
    <row r="70" spans="1:27" ht="15">
      <c r="A70" s="133"/>
      <c r="B70" s="133"/>
      <c r="C70" s="133"/>
      <c r="D70" s="133"/>
      <c r="E70" s="133"/>
      <c r="F70" s="133"/>
      <c r="G70" s="133"/>
      <c r="H70" s="133"/>
      <c r="I70" s="133"/>
      <c r="L70" s="270"/>
      <c r="M70" s="270"/>
      <c r="N70" s="270"/>
      <c r="O70" s="270"/>
      <c r="P70" s="270"/>
      <c r="Q70" s="270"/>
      <c r="R70" s="270"/>
      <c r="S70" s="270"/>
      <c r="U70" s="162"/>
      <c r="V70" s="163"/>
      <c r="W70" s="164"/>
      <c r="Z70" s="163"/>
      <c r="AA70" s="164"/>
    </row>
    <row r="71" spans="1:27" ht="15">
      <c r="L71" s="270"/>
      <c r="M71" s="270"/>
      <c r="N71" s="270"/>
      <c r="O71" s="270"/>
      <c r="P71" s="270"/>
      <c r="Q71" s="270"/>
      <c r="R71" s="270"/>
      <c r="S71" s="270"/>
      <c r="U71" s="162"/>
      <c r="V71" s="163"/>
      <c r="W71" s="164"/>
      <c r="Z71" s="163"/>
      <c r="AA71" s="164"/>
    </row>
    <row r="72" spans="1:27" ht="15">
      <c r="A72" s="319"/>
      <c r="B72" s="319"/>
      <c r="C72" s="319"/>
      <c r="D72" s="319"/>
      <c r="E72" s="319"/>
      <c r="F72" s="319"/>
      <c r="G72" s="319"/>
      <c r="H72" s="319"/>
      <c r="I72" s="187"/>
      <c r="L72" s="270"/>
      <c r="M72" s="270"/>
      <c r="N72" s="270"/>
      <c r="O72" s="270"/>
      <c r="P72" s="270"/>
      <c r="Q72" s="270"/>
      <c r="R72" s="270"/>
      <c r="S72" s="270"/>
      <c r="U72" s="162"/>
      <c r="V72" s="163"/>
      <c r="W72" s="164"/>
      <c r="Z72" s="163"/>
      <c r="AA72" s="164"/>
    </row>
    <row r="73" spans="1:27" ht="15">
      <c r="L73" s="270"/>
      <c r="M73" s="270"/>
      <c r="N73" s="270"/>
      <c r="O73" s="270"/>
      <c r="P73" s="270"/>
      <c r="Q73" s="270"/>
      <c r="R73" s="270"/>
      <c r="S73" s="270"/>
      <c r="U73" s="162"/>
      <c r="V73" s="163"/>
      <c r="W73" s="164"/>
      <c r="Z73" s="163"/>
      <c r="AA73" s="164"/>
    </row>
    <row r="74" spans="1:27" ht="15">
      <c r="L74" s="270"/>
      <c r="M74" s="270"/>
      <c r="N74" s="270"/>
      <c r="O74" s="270"/>
      <c r="P74" s="270"/>
      <c r="Q74" s="270"/>
      <c r="R74" s="270"/>
      <c r="S74" s="270"/>
      <c r="U74" s="162"/>
      <c r="V74" s="163"/>
      <c r="W74" s="164"/>
      <c r="Z74" s="163"/>
      <c r="AA74" s="164"/>
    </row>
    <row r="75" spans="1:27" ht="21" customHeight="1">
      <c r="A75" s="319"/>
      <c r="B75" s="319"/>
      <c r="C75" s="319"/>
      <c r="D75" s="319"/>
      <c r="E75" s="319"/>
      <c r="F75" s="319"/>
      <c r="G75" s="319"/>
      <c r="H75" s="319"/>
      <c r="I75" s="187"/>
      <c r="L75" s="270"/>
      <c r="M75" s="270"/>
      <c r="N75" s="270"/>
      <c r="O75" s="270"/>
      <c r="P75" s="270"/>
      <c r="Q75" s="270"/>
      <c r="R75" s="270"/>
      <c r="S75" s="270"/>
      <c r="U75" s="162"/>
      <c r="V75" s="163"/>
      <c r="W75" s="164"/>
      <c r="Z75" s="163"/>
      <c r="AA75" s="164"/>
    </row>
    <row r="76" spans="1:27" ht="15">
      <c r="L76" s="270"/>
      <c r="M76" s="270"/>
      <c r="N76" s="270"/>
      <c r="O76" s="270"/>
      <c r="P76" s="270"/>
      <c r="Q76" s="270"/>
      <c r="R76" s="270"/>
      <c r="S76" s="270"/>
      <c r="U76" s="162"/>
      <c r="V76" s="163"/>
      <c r="W76" s="164"/>
      <c r="Z76" s="163"/>
      <c r="AA76" s="164"/>
    </row>
    <row r="77" spans="1:27" ht="15">
      <c r="L77" s="270"/>
      <c r="M77" s="270"/>
      <c r="N77" s="270"/>
      <c r="O77" s="270"/>
      <c r="P77" s="270"/>
      <c r="Q77" s="270"/>
      <c r="R77" s="270"/>
      <c r="S77" s="270"/>
      <c r="U77" s="162"/>
      <c r="V77" s="163"/>
      <c r="W77" s="164"/>
      <c r="Z77" s="163"/>
      <c r="AA77" s="164"/>
    </row>
    <row r="78" spans="1:27" ht="15">
      <c r="L78" s="270"/>
      <c r="M78" s="270"/>
      <c r="N78" s="270"/>
      <c r="O78" s="270"/>
      <c r="P78" s="270"/>
      <c r="Q78" s="270"/>
      <c r="R78" s="270"/>
      <c r="S78" s="270"/>
      <c r="U78" s="162"/>
      <c r="V78" s="163"/>
      <c r="W78" s="164"/>
      <c r="Z78" s="163"/>
      <c r="AA78" s="163"/>
    </row>
    <row r="79" spans="1:27" ht="15">
      <c r="L79" s="270"/>
      <c r="M79" s="270"/>
      <c r="N79" s="270"/>
      <c r="O79" s="270"/>
      <c r="P79" s="270"/>
      <c r="Q79" s="270"/>
      <c r="R79" s="270"/>
      <c r="S79" s="270"/>
      <c r="U79" s="162"/>
      <c r="V79" s="163"/>
      <c r="W79" s="164"/>
      <c r="Z79" s="163"/>
      <c r="AA79" s="164"/>
    </row>
    <row r="80" spans="1:27" ht="15">
      <c r="L80" s="270"/>
      <c r="M80" s="270"/>
      <c r="N80" s="270"/>
      <c r="O80" s="270"/>
      <c r="P80" s="270"/>
      <c r="Q80" s="270"/>
      <c r="R80" s="270"/>
      <c r="S80" s="270"/>
      <c r="U80" s="162"/>
      <c r="V80" s="163"/>
      <c r="W80" s="163"/>
      <c r="Z80" s="163"/>
      <c r="AA80" s="163"/>
    </row>
    <row r="81" spans="1:27" ht="15">
      <c r="L81" s="270"/>
      <c r="M81" s="270"/>
      <c r="N81" s="270"/>
      <c r="O81" s="270"/>
      <c r="P81" s="270"/>
      <c r="Q81" s="270"/>
      <c r="R81" s="270"/>
      <c r="S81" s="270"/>
      <c r="U81" s="162"/>
      <c r="V81" s="163"/>
      <c r="W81" s="164"/>
      <c r="Z81" s="163"/>
      <c r="AA81" s="164"/>
    </row>
    <row r="82" spans="1:27" ht="15">
      <c r="L82" s="270"/>
      <c r="M82" s="270"/>
      <c r="N82" s="270"/>
      <c r="O82" s="270"/>
      <c r="P82" s="270"/>
      <c r="Q82" s="270"/>
      <c r="R82" s="270"/>
      <c r="S82" s="270"/>
      <c r="U82" s="162"/>
      <c r="V82" s="163"/>
      <c r="W82" s="164"/>
      <c r="Z82" s="163"/>
      <c r="AA82" s="164"/>
    </row>
    <row r="83" spans="1:27" ht="15">
      <c r="L83" s="270"/>
      <c r="M83" s="270"/>
      <c r="N83" s="270"/>
      <c r="O83" s="270"/>
      <c r="P83" s="270"/>
      <c r="Q83" s="270"/>
      <c r="R83" s="270"/>
      <c r="S83" s="270"/>
      <c r="U83" s="162"/>
      <c r="V83" s="163"/>
      <c r="W83" s="164"/>
      <c r="Z83" s="163"/>
      <c r="AA83" s="164"/>
    </row>
    <row r="84" spans="1:27" ht="15">
      <c r="L84" s="270"/>
      <c r="M84" s="270"/>
      <c r="N84" s="270"/>
      <c r="O84" s="270"/>
      <c r="P84" s="270"/>
      <c r="Q84" s="270"/>
      <c r="R84" s="270"/>
      <c r="S84" s="270"/>
      <c r="U84" s="162"/>
      <c r="V84" s="163"/>
      <c r="W84" s="164"/>
      <c r="Z84" s="163"/>
      <c r="AA84" s="164"/>
    </row>
    <row r="85" spans="1:27" ht="15">
      <c r="L85" s="270"/>
      <c r="M85" s="270"/>
      <c r="N85" s="270"/>
      <c r="O85" s="270"/>
      <c r="P85" s="270"/>
      <c r="Q85" s="270"/>
      <c r="R85" s="270"/>
      <c r="S85" s="270"/>
      <c r="U85" s="162"/>
      <c r="V85" s="163"/>
      <c r="W85" s="164"/>
      <c r="Z85" s="163"/>
      <c r="AA85" s="164"/>
    </row>
    <row r="86" spans="1:27" ht="15">
      <c r="L86" s="270"/>
      <c r="M86" s="270"/>
      <c r="N86" s="270"/>
      <c r="O86" s="270"/>
      <c r="P86" s="270"/>
      <c r="Q86" s="270"/>
      <c r="R86" s="270"/>
      <c r="S86" s="270"/>
      <c r="U86" s="162"/>
      <c r="V86" s="163"/>
      <c r="W86" s="164"/>
      <c r="Z86" s="163"/>
      <c r="AA86" s="163"/>
    </row>
    <row r="87" spans="1:27" ht="15">
      <c r="L87" s="270"/>
      <c r="M87" s="270"/>
      <c r="N87" s="270"/>
      <c r="O87" s="270"/>
      <c r="P87" s="270"/>
      <c r="Q87" s="270"/>
      <c r="R87" s="270"/>
      <c r="S87" s="270"/>
      <c r="U87" s="162"/>
      <c r="V87" s="163"/>
      <c r="W87" s="164"/>
      <c r="Z87" s="163"/>
      <c r="AA87" s="164"/>
    </row>
    <row r="88" spans="1:27" ht="15">
      <c r="L88" s="270"/>
      <c r="M88" s="270"/>
      <c r="N88" s="270"/>
      <c r="O88" s="270"/>
      <c r="P88" s="270"/>
      <c r="Q88" s="270"/>
      <c r="R88" s="270"/>
      <c r="S88" s="270"/>
      <c r="U88" s="162"/>
      <c r="V88" s="163"/>
      <c r="W88" s="164"/>
      <c r="Z88" s="163"/>
      <c r="AA88" s="164"/>
    </row>
    <row r="89" spans="1:27" ht="15">
      <c r="A89" s="331"/>
      <c r="B89" s="331"/>
      <c r="C89" s="331"/>
      <c r="D89" s="331"/>
      <c r="E89" s="331"/>
      <c r="F89" s="331"/>
      <c r="G89" s="331"/>
      <c r="H89" s="331"/>
      <c r="I89" s="186"/>
      <c r="L89" s="270"/>
      <c r="M89" s="270"/>
      <c r="N89" s="270"/>
      <c r="O89" s="270"/>
      <c r="P89" s="270"/>
      <c r="Q89" s="270"/>
      <c r="R89" s="270"/>
      <c r="S89" s="270"/>
      <c r="U89" s="162"/>
      <c r="V89" s="163"/>
      <c r="W89" s="164"/>
      <c r="Z89" s="163"/>
      <c r="AA89" s="164"/>
    </row>
    <row r="90" spans="1:27" ht="15">
      <c r="A90" s="133"/>
      <c r="B90" s="133"/>
      <c r="C90" s="133"/>
      <c r="D90" s="133"/>
      <c r="E90" s="133"/>
      <c r="F90" s="133"/>
      <c r="G90" s="133"/>
      <c r="H90" s="133"/>
      <c r="I90" s="133"/>
      <c r="U90" s="162"/>
      <c r="V90" s="163"/>
      <c r="W90" s="164"/>
      <c r="Z90" s="163"/>
      <c r="AA90" s="163"/>
    </row>
    <row r="91" spans="1:27" ht="15">
      <c r="A91" s="133"/>
      <c r="B91" s="133"/>
      <c r="C91" s="133"/>
      <c r="D91" s="133"/>
      <c r="E91" s="133"/>
      <c r="F91" s="133"/>
      <c r="G91" s="133"/>
      <c r="H91" s="133"/>
      <c r="I91" s="133"/>
      <c r="U91" s="162"/>
      <c r="V91" s="163"/>
      <c r="W91" s="164"/>
      <c r="Z91" s="163"/>
      <c r="AA91" s="163"/>
    </row>
    <row r="92" spans="1:27" ht="15">
      <c r="A92" s="133"/>
      <c r="B92" s="133"/>
      <c r="C92" s="133"/>
      <c r="D92" s="133"/>
      <c r="E92" s="133"/>
      <c r="F92" s="133"/>
      <c r="G92" s="133"/>
      <c r="H92" s="133"/>
      <c r="I92" s="133"/>
      <c r="U92" s="162"/>
      <c r="V92" s="163"/>
      <c r="W92" s="164"/>
      <c r="Z92" s="163"/>
      <c r="AA92" s="163"/>
    </row>
    <row r="93" spans="1:27" ht="15">
      <c r="A93" s="133"/>
      <c r="B93" s="133"/>
      <c r="C93" s="133"/>
      <c r="D93" s="133"/>
      <c r="E93" s="133"/>
      <c r="F93" s="133"/>
      <c r="G93" s="133"/>
      <c r="H93" s="133"/>
      <c r="I93" s="133"/>
      <c r="U93" s="162"/>
      <c r="V93" s="163"/>
      <c r="W93" s="164"/>
      <c r="Z93" s="163"/>
      <c r="AA93" s="164"/>
    </row>
    <row r="94" spans="1:27" ht="15">
      <c r="A94" s="133"/>
      <c r="B94" s="133"/>
      <c r="C94" s="133"/>
      <c r="D94" s="133"/>
      <c r="E94" s="133"/>
      <c r="F94" s="133"/>
      <c r="G94" s="133"/>
      <c r="H94" s="133"/>
      <c r="I94" s="133"/>
      <c r="U94" s="162"/>
      <c r="V94" s="163"/>
      <c r="W94" s="164"/>
      <c r="Z94" s="163"/>
      <c r="AA94" s="163"/>
    </row>
    <row r="95" spans="1:27" ht="15">
      <c r="A95" s="133"/>
      <c r="B95" s="133"/>
      <c r="C95" s="133"/>
      <c r="D95" s="133"/>
      <c r="E95" s="133"/>
      <c r="F95" s="133"/>
      <c r="G95" s="133"/>
      <c r="H95" s="133"/>
      <c r="I95" s="133"/>
      <c r="U95" s="162"/>
      <c r="V95" s="163"/>
      <c r="W95" s="164"/>
      <c r="Z95" s="163"/>
      <c r="AA95" s="163"/>
    </row>
    <row r="97" spans="1:9" ht="15">
      <c r="A97" s="319"/>
      <c r="B97" s="319"/>
      <c r="C97" s="319"/>
      <c r="D97" s="319"/>
      <c r="E97" s="319"/>
      <c r="F97" s="319"/>
      <c r="G97" s="319"/>
      <c r="H97" s="319"/>
      <c r="I97" s="187"/>
    </row>
  </sheetData>
  <sheetProtection selectLockedCells="1" selectUnlockedCells="1"/>
  <mergeCells count="16">
    <mergeCell ref="A89:H89"/>
    <mergeCell ref="A97:H97"/>
    <mergeCell ref="A39:H39"/>
    <mergeCell ref="A47:H47"/>
    <mergeCell ref="A50:H50"/>
    <mergeCell ref="A64:H64"/>
    <mergeCell ref="A72:H72"/>
    <mergeCell ref="A75:H75"/>
    <mergeCell ref="A1:H1"/>
    <mergeCell ref="A2:H2"/>
    <mergeCell ref="A3:H3"/>
    <mergeCell ref="A5:H5"/>
    <mergeCell ref="B6:B7"/>
    <mergeCell ref="C6:F6"/>
    <mergeCell ref="G6:G7"/>
    <mergeCell ref="H6:H7"/>
  </mergeCells>
  <printOptions horizontalCentered="1" verticalCentered="1"/>
  <pageMargins left="0.23622047244094491" right="0.23622047244094491" top="0.82677165354330717" bottom="0.78740157480314965" header="0.51181102362204722" footer="0.15748031496062992"/>
  <pageSetup paperSize="9" scale="45" firstPageNumber="0" orientation="landscape" verticalDpi="300" r:id="rId1"/>
  <headerFooter scaleWithDoc="0" alignWithMargins="0">
    <oddFooter>&amp;R&amp;"Verdana,Normale"&amp;8MINISTERO DELLA SALUTE  
Direzione Generale per l'Igiene e la Sicurezza degli Alimenti e la Nutrizione
Pagina  130</oddFooter>
  </headerFooter>
  <rowBreaks count="2" manualBreakCount="2">
    <brk id="49" max="16383" man="1"/>
    <brk id="7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zoomScale="55" zoomScaleNormal="55" zoomScaleSheetLayoutView="55" workbookViewId="0">
      <selection activeCell="K4" sqref="K1:Y1048576"/>
    </sheetView>
  </sheetViews>
  <sheetFormatPr defaultRowHeight="23.25"/>
  <cols>
    <col min="1" max="1" width="12.7109375" style="32" customWidth="1"/>
    <col min="2" max="2" width="37" style="188" customWidth="1"/>
    <col min="3" max="3" width="14.85546875" style="32" customWidth="1"/>
    <col min="4" max="4" width="18" style="32" customWidth="1"/>
    <col min="5" max="5" width="21" style="32" customWidth="1"/>
    <col min="6" max="6" width="23.42578125" style="32" customWidth="1"/>
    <col min="7" max="7" width="20.28515625" style="32" customWidth="1"/>
    <col min="8" max="8" width="20.7109375" style="32" customWidth="1"/>
    <col min="9" max="9" width="18.140625" style="32" customWidth="1"/>
    <col min="10" max="10" width="12.7109375" style="32" customWidth="1"/>
    <col min="11" max="11" width="0" style="32" hidden="1" customWidth="1"/>
    <col min="12" max="12" width="9.7109375" style="32" hidden="1" customWidth="1"/>
    <col min="13" max="14" width="0" style="32" hidden="1" customWidth="1"/>
    <col min="15" max="15" width="19.5703125" style="32" hidden="1" customWidth="1"/>
    <col min="16" max="16" width="18.7109375" style="32" hidden="1" customWidth="1"/>
    <col min="17" max="22" width="19" style="32" hidden="1" customWidth="1"/>
    <col min="23" max="24" width="20.42578125" style="32" hidden="1" customWidth="1"/>
    <col min="25" max="25" width="21.7109375" style="32" hidden="1" customWidth="1"/>
    <col min="26" max="16384" width="9.140625" style="32"/>
  </cols>
  <sheetData>
    <row r="1" spans="2:25" ht="33.75" customHeight="1">
      <c r="B1" s="320" t="s">
        <v>222</v>
      </c>
      <c r="C1" s="320"/>
      <c r="D1" s="320"/>
      <c r="E1" s="320"/>
      <c r="F1" s="320"/>
      <c r="G1" s="320"/>
      <c r="H1" s="320"/>
      <c r="I1" s="320"/>
      <c r="J1" s="92"/>
    </row>
    <row r="2" spans="2:25" ht="26.25">
      <c r="B2" s="320" t="s">
        <v>143</v>
      </c>
      <c r="C2" s="320"/>
      <c r="D2" s="320"/>
      <c r="E2" s="320"/>
      <c r="F2" s="320"/>
      <c r="G2" s="320"/>
      <c r="H2" s="320"/>
      <c r="I2" s="320"/>
    </row>
    <row r="3" spans="2:25" ht="26.25">
      <c r="B3" s="320" t="s">
        <v>126</v>
      </c>
      <c r="C3" s="320"/>
      <c r="D3" s="320"/>
      <c r="E3" s="320"/>
      <c r="F3" s="320"/>
      <c r="G3" s="320"/>
      <c r="H3" s="320"/>
      <c r="I3" s="320"/>
    </row>
    <row r="4" spans="2:25" ht="26.25">
      <c r="B4" s="37"/>
      <c r="C4" s="37"/>
      <c r="D4" s="37"/>
      <c r="E4" s="37"/>
      <c r="F4" s="37"/>
      <c r="G4" s="37"/>
      <c r="H4" s="37"/>
      <c r="I4" s="37"/>
    </row>
    <row r="5" spans="2:25" ht="22.5">
      <c r="B5" s="321" t="s">
        <v>150</v>
      </c>
      <c r="C5" s="321"/>
      <c r="D5" s="321"/>
      <c r="E5" s="321"/>
      <c r="F5" s="321"/>
      <c r="G5" s="321"/>
      <c r="H5" s="321"/>
      <c r="I5" s="321"/>
    </row>
    <row r="6" spans="2:25" ht="21" customHeight="1" thickBot="1">
      <c r="C6" s="93"/>
      <c r="D6" s="93"/>
      <c r="E6" s="93"/>
      <c r="F6" s="93"/>
      <c r="G6" s="93"/>
      <c r="H6" s="93"/>
      <c r="I6" s="93"/>
    </row>
    <row r="7" spans="2:25" ht="39.75" customHeight="1" thickTop="1" thickBot="1">
      <c r="B7" s="322" t="s">
        <v>0</v>
      </c>
      <c r="C7" s="352" t="s">
        <v>1</v>
      </c>
      <c r="D7" s="353" t="s">
        <v>2</v>
      </c>
      <c r="E7" s="353"/>
      <c r="F7" s="353"/>
      <c r="G7" s="353"/>
      <c r="H7" s="354" t="s">
        <v>3</v>
      </c>
      <c r="I7" s="355" t="s">
        <v>4</v>
      </c>
      <c r="O7" s="251" t="s">
        <v>17</v>
      </c>
      <c r="P7" s="251" t="s">
        <v>18</v>
      </c>
      <c r="Q7" s="251" t="s">
        <v>19</v>
      </c>
      <c r="R7" s="251"/>
      <c r="S7" s="251" t="s">
        <v>20</v>
      </c>
      <c r="T7" s="251"/>
      <c r="U7" s="251" t="s">
        <v>21</v>
      </c>
      <c r="V7" s="189"/>
      <c r="W7" s="189"/>
      <c r="X7" s="190"/>
      <c r="Y7" s="190"/>
    </row>
    <row r="8" spans="2:25" ht="87" customHeight="1" thickTop="1" thickBot="1">
      <c r="B8" s="322"/>
      <c r="C8" s="352"/>
      <c r="D8" s="191" t="s">
        <v>5</v>
      </c>
      <c r="E8" s="192" t="s">
        <v>6</v>
      </c>
      <c r="F8" s="193" t="s">
        <v>7</v>
      </c>
      <c r="G8" s="194" t="s">
        <v>8</v>
      </c>
      <c r="H8" s="354"/>
      <c r="I8" s="355"/>
      <c r="J8" s="98"/>
      <c r="M8" s="99"/>
      <c r="O8" s="252" t="s">
        <v>25</v>
      </c>
      <c r="P8" s="253">
        <v>394</v>
      </c>
      <c r="Q8" s="253">
        <v>144</v>
      </c>
      <c r="R8" s="253"/>
      <c r="S8" s="253">
        <v>247</v>
      </c>
      <c r="T8" s="253"/>
      <c r="U8" s="253">
        <v>3</v>
      </c>
      <c r="V8" s="195"/>
      <c r="W8" s="195"/>
      <c r="X8" s="196"/>
      <c r="Y8" s="196"/>
    </row>
    <row r="9" spans="2:25" s="202" customFormat="1" ht="27.75" customHeight="1" thickTop="1">
      <c r="B9" s="197" t="s">
        <v>9</v>
      </c>
      <c r="C9" s="102">
        <v>394</v>
      </c>
      <c r="D9" s="103">
        <v>144</v>
      </c>
      <c r="E9" s="104">
        <f>D9/C9*100</f>
        <v>36.548223350253807</v>
      </c>
      <c r="F9" s="103">
        <v>247</v>
      </c>
      <c r="G9" s="104">
        <f>F9/C9*100</f>
        <v>62.690355329949242</v>
      </c>
      <c r="H9" s="103">
        <v>3</v>
      </c>
      <c r="I9" s="105">
        <f>H9/C9*100</f>
        <v>0.76142131979695438</v>
      </c>
      <c r="J9" s="198"/>
      <c r="K9" s="199">
        <f>D9+F9+H9</f>
        <v>394</v>
      </c>
      <c r="L9" s="200">
        <f>E9+G9+I9</f>
        <v>100</v>
      </c>
      <c r="M9" s="201"/>
      <c r="O9" s="252" t="s">
        <v>30</v>
      </c>
      <c r="P9" s="253">
        <v>369</v>
      </c>
      <c r="Q9" s="253">
        <v>249</v>
      </c>
      <c r="R9" s="253"/>
      <c r="S9" s="253">
        <v>100</v>
      </c>
      <c r="T9" s="253"/>
      <c r="U9" s="253">
        <v>20</v>
      </c>
      <c r="V9" s="195"/>
      <c r="W9" s="195"/>
      <c r="X9" s="203"/>
      <c r="Y9" s="203"/>
    </row>
    <row r="10" spans="2:25" s="202" customFormat="1" ht="27.75" customHeight="1">
      <c r="B10" s="204" t="s">
        <v>212</v>
      </c>
      <c r="C10" s="102">
        <v>369</v>
      </c>
      <c r="D10" s="112">
        <v>249</v>
      </c>
      <c r="E10" s="104">
        <f t="shared" ref="E10:E15" si="0">D10/C10*100</f>
        <v>67.479674796747972</v>
      </c>
      <c r="F10" s="112">
        <v>100</v>
      </c>
      <c r="G10" s="104">
        <f t="shared" ref="G10:G15" si="1">F10/C10*100</f>
        <v>27.100271002710024</v>
      </c>
      <c r="H10" s="112">
        <v>20</v>
      </c>
      <c r="I10" s="105">
        <f t="shared" ref="I10:I15" si="2">H10/C10*100</f>
        <v>5.4200542005420056</v>
      </c>
      <c r="J10" s="198"/>
      <c r="K10" s="199">
        <f t="shared" ref="K10:L15" si="3">D10+F10+H10</f>
        <v>369</v>
      </c>
      <c r="L10" s="200">
        <f t="shared" si="3"/>
        <v>100</v>
      </c>
      <c r="M10" s="205"/>
      <c r="O10" s="252" t="s">
        <v>23</v>
      </c>
      <c r="P10" s="253">
        <v>141</v>
      </c>
      <c r="Q10" s="253">
        <v>124</v>
      </c>
      <c r="R10" s="253"/>
      <c r="S10" s="253">
        <v>16</v>
      </c>
      <c r="T10" s="253"/>
      <c r="U10" s="253">
        <v>1</v>
      </c>
      <c r="V10" s="195"/>
      <c r="W10" s="195"/>
      <c r="X10" s="203"/>
      <c r="Y10" s="203"/>
    </row>
    <row r="11" spans="2:25" s="202" customFormat="1" ht="27.75" customHeight="1">
      <c r="B11" s="206" t="s">
        <v>11</v>
      </c>
      <c r="C11" s="102">
        <v>141</v>
      </c>
      <c r="D11" s="112">
        <v>124</v>
      </c>
      <c r="E11" s="104">
        <v>88</v>
      </c>
      <c r="F11" s="112">
        <v>16</v>
      </c>
      <c r="G11" s="104">
        <f t="shared" si="1"/>
        <v>11.347517730496454</v>
      </c>
      <c r="H11" s="112">
        <v>1</v>
      </c>
      <c r="I11" s="105">
        <f t="shared" si="2"/>
        <v>0.70921985815602839</v>
      </c>
      <c r="J11" s="198"/>
      <c r="K11" s="199">
        <f t="shared" si="3"/>
        <v>141</v>
      </c>
      <c r="L11" s="200">
        <f t="shared" si="3"/>
        <v>100.05673758865248</v>
      </c>
      <c r="M11" s="205"/>
      <c r="N11" s="207"/>
      <c r="O11" s="252" t="s">
        <v>29</v>
      </c>
      <c r="P11" s="253">
        <v>10</v>
      </c>
      <c r="Q11" s="253">
        <v>8</v>
      </c>
      <c r="R11" s="253"/>
      <c r="S11" s="253">
        <v>2</v>
      </c>
      <c r="T11" s="255"/>
      <c r="U11" s="254"/>
      <c r="V11" s="208"/>
      <c r="W11" s="209"/>
      <c r="X11" s="210"/>
      <c r="Y11" s="211"/>
    </row>
    <row r="12" spans="2:25" s="202" customFormat="1" ht="27.75" customHeight="1">
      <c r="B12" s="212" t="s">
        <v>12</v>
      </c>
      <c r="C12" s="102">
        <v>10</v>
      </c>
      <c r="D12" s="112">
        <v>8</v>
      </c>
      <c r="E12" s="104">
        <f t="shared" si="0"/>
        <v>80</v>
      </c>
      <c r="F12" s="112">
        <v>2</v>
      </c>
      <c r="G12" s="104">
        <f t="shared" si="1"/>
        <v>20</v>
      </c>
      <c r="H12" s="112">
        <v>0</v>
      </c>
      <c r="I12" s="105">
        <f t="shared" si="2"/>
        <v>0</v>
      </c>
      <c r="J12" s="198"/>
      <c r="K12" s="199">
        <f t="shared" si="3"/>
        <v>10</v>
      </c>
      <c r="L12" s="200">
        <f t="shared" si="3"/>
        <v>100</v>
      </c>
      <c r="M12" s="205"/>
      <c r="O12" s="252" t="s">
        <v>40</v>
      </c>
      <c r="P12" s="253">
        <v>2</v>
      </c>
      <c r="Q12" s="253">
        <v>2</v>
      </c>
      <c r="R12" s="255"/>
      <c r="S12" s="254"/>
      <c r="T12" s="254"/>
      <c r="U12" s="254"/>
      <c r="V12" s="208"/>
      <c r="W12" s="209"/>
      <c r="X12" s="210"/>
      <c r="Y12" s="211"/>
    </row>
    <row r="13" spans="2:25" s="202" customFormat="1" ht="27.75" customHeight="1">
      <c r="B13" s="213" t="s">
        <v>13</v>
      </c>
      <c r="C13" s="102">
        <v>2</v>
      </c>
      <c r="D13" s="112">
        <v>2</v>
      </c>
      <c r="E13" s="104">
        <f t="shared" si="0"/>
        <v>100</v>
      </c>
      <c r="F13" s="112">
        <v>0</v>
      </c>
      <c r="G13" s="104">
        <f t="shared" si="1"/>
        <v>0</v>
      </c>
      <c r="H13" s="112">
        <v>0</v>
      </c>
      <c r="I13" s="105">
        <v>0</v>
      </c>
      <c r="J13" s="198"/>
      <c r="K13" s="199">
        <f t="shared" si="3"/>
        <v>2</v>
      </c>
      <c r="L13" s="200">
        <f t="shared" si="3"/>
        <v>100</v>
      </c>
      <c r="M13" s="205"/>
      <c r="O13" s="252" t="s">
        <v>164</v>
      </c>
      <c r="P13" s="253">
        <v>393</v>
      </c>
      <c r="Q13" s="253">
        <v>290</v>
      </c>
      <c r="R13" s="255"/>
      <c r="S13" s="254">
        <v>97</v>
      </c>
      <c r="T13" s="254"/>
      <c r="U13" s="254">
        <v>6</v>
      </c>
      <c r="V13" s="195"/>
      <c r="W13" s="195"/>
      <c r="X13" s="214"/>
      <c r="Y13" s="211"/>
    </row>
    <row r="14" spans="2:25" s="202" customFormat="1" ht="27.75" customHeight="1" thickBot="1">
      <c r="B14" s="215" t="s">
        <v>15</v>
      </c>
      <c r="C14" s="102">
        <v>393</v>
      </c>
      <c r="D14" s="112">
        <v>290</v>
      </c>
      <c r="E14" s="104">
        <f t="shared" si="0"/>
        <v>73.791348600508911</v>
      </c>
      <c r="F14" s="112">
        <v>97</v>
      </c>
      <c r="G14" s="104">
        <f t="shared" si="1"/>
        <v>24.681933842239186</v>
      </c>
      <c r="H14" s="112">
        <v>6</v>
      </c>
      <c r="I14" s="105">
        <f t="shared" si="2"/>
        <v>1.5267175572519083</v>
      </c>
      <c r="J14" s="198"/>
      <c r="K14" s="199">
        <f t="shared" si="3"/>
        <v>393</v>
      </c>
      <c r="L14" s="200">
        <f t="shared" si="3"/>
        <v>100.00000000000001</v>
      </c>
      <c r="O14" s="252" t="s">
        <v>22</v>
      </c>
      <c r="P14" s="253">
        <v>1</v>
      </c>
      <c r="Q14" s="253">
        <v>1</v>
      </c>
      <c r="R14" s="255"/>
      <c r="S14" s="254"/>
      <c r="T14" s="254"/>
      <c r="U14" s="254"/>
      <c r="V14" s="195"/>
      <c r="W14" s="195"/>
      <c r="X14" s="211"/>
      <c r="Y14" s="211"/>
    </row>
    <row r="15" spans="2:25" ht="27.75" customHeight="1" thickBot="1">
      <c r="B15" s="122" t="s">
        <v>16</v>
      </c>
      <c r="C15" s="123">
        <f t="shared" ref="C15" si="4">D15+F15+H15</f>
        <v>1309</v>
      </c>
      <c r="D15" s="124">
        <f>SUM(D9:D14)</f>
        <v>817</v>
      </c>
      <c r="E15" s="125">
        <f t="shared" si="0"/>
        <v>62.414056531703586</v>
      </c>
      <c r="F15" s="124">
        <f>SUM(F9:F14)</f>
        <v>462</v>
      </c>
      <c r="G15" s="125">
        <f t="shared" si="1"/>
        <v>35.294117647058826</v>
      </c>
      <c r="H15" s="123">
        <f>SUM(H9:H14)</f>
        <v>30</v>
      </c>
      <c r="I15" s="126">
        <f t="shared" si="2"/>
        <v>2.2918258212375862</v>
      </c>
      <c r="J15" s="106"/>
      <c r="K15" s="107">
        <f>D14+F14+H14</f>
        <v>393</v>
      </c>
      <c r="L15" s="108">
        <f t="shared" si="3"/>
        <v>100</v>
      </c>
      <c r="O15" s="252" t="s">
        <v>24</v>
      </c>
      <c r="P15" s="253">
        <v>14</v>
      </c>
      <c r="Q15" s="253">
        <v>10</v>
      </c>
      <c r="R15" s="253"/>
      <c r="S15" s="253">
        <v>3</v>
      </c>
      <c r="T15" s="253"/>
      <c r="U15" s="253">
        <v>1</v>
      </c>
      <c r="V15" s="195"/>
      <c r="W15" s="195"/>
      <c r="X15" s="211"/>
      <c r="Y15" s="211"/>
    </row>
    <row r="16" spans="2:25" ht="27.75" customHeight="1" thickTop="1">
      <c r="B16" s="327" t="s">
        <v>214</v>
      </c>
      <c r="C16" s="327"/>
      <c r="D16" s="327"/>
      <c r="E16" s="327"/>
      <c r="F16" s="327"/>
      <c r="G16" s="327"/>
      <c r="H16" s="327"/>
      <c r="I16" s="327"/>
      <c r="J16" s="106"/>
      <c r="K16" s="107">
        <f>D15+F15+H15</f>
        <v>1309</v>
      </c>
      <c r="O16" s="252" t="s">
        <v>26</v>
      </c>
      <c r="P16" s="253">
        <v>48</v>
      </c>
      <c r="Q16" s="253">
        <v>26</v>
      </c>
      <c r="R16" s="253"/>
      <c r="S16" s="253">
        <v>21</v>
      </c>
      <c r="T16" s="253"/>
      <c r="U16" s="253">
        <v>1</v>
      </c>
      <c r="V16" s="208"/>
      <c r="W16" s="209"/>
      <c r="X16" s="211"/>
      <c r="Y16" s="216"/>
    </row>
    <row r="17" spans="1:25" ht="50.25" customHeight="1">
      <c r="A17" s="329"/>
      <c r="B17" s="329"/>
      <c r="C17" s="329"/>
      <c r="D17" s="329"/>
      <c r="E17" s="329"/>
      <c r="F17" s="329"/>
      <c r="G17" s="329"/>
      <c r="H17" s="329"/>
      <c r="I17" s="329"/>
      <c r="J17" s="329"/>
      <c r="O17" s="252" t="s">
        <v>27</v>
      </c>
      <c r="P17" s="253">
        <v>1</v>
      </c>
      <c r="Q17" s="253">
        <v>1</v>
      </c>
      <c r="R17" s="255"/>
      <c r="S17" s="254"/>
      <c r="T17" s="254"/>
      <c r="U17" s="254"/>
      <c r="V17" s="195"/>
      <c r="W17" s="195"/>
      <c r="X17" s="210"/>
      <c r="Y17" s="216"/>
    </row>
    <row r="18" spans="1:25">
      <c r="C18" s="25"/>
      <c r="D18" s="25"/>
      <c r="E18" s="25"/>
      <c r="F18" s="25"/>
      <c r="G18" s="25"/>
      <c r="H18" s="25"/>
      <c r="I18" s="25"/>
      <c r="O18" s="252" t="s">
        <v>28</v>
      </c>
      <c r="P18" s="253">
        <v>2</v>
      </c>
      <c r="Q18" s="253">
        <v>2</v>
      </c>
      <c r="R18" s="255"/>
      <c r="S18" s="254"/>
      <c r="T18" s="254"/>
      <c r="U18" s="254"/>
      <c r="V18" s="209"/>
      <c r="W18" s="209"/>
      <c r="X18" s="196"/>
      <c r="Y18" s="196"/>
    </row>
    <row r="19" spans="1:25">
      <c r="C19" s="25"/>
      <c r="D19" s="25"/>
      <c r="E19" s="25"/>
      <c r="F19" s="25"/>
      <c r="G19" s="25"/>
      <c r="H19" s="25"/>
      <c r="I19" s="25"/>
      <c r="O19" s="252" t="s">
        <v>31</v>
      </c>
      <c r="P19" s="253">
        <v>65</v>
      </c>
      <c r="Q19" s="253">
        <v>37</v>
      </c>
      <c r="R19" s="253"/>
      <c r="S19" s="253">
        <v>26</v>
      </c>
      <c r="T19" s="253"/>
      <c r="U19" s="253">
        <v>2</v>
      </c>
      <c r="V19" s="208"/>
      <c r="W19" s="209"/>
      <c r="X19" s="216"/>
      <c r="Y19" s="216"/>
    </row>
    <row r="20" spans="1:25">
      <c r="C20" s="25"/>
      <c r="D20" s="25"/>
      <c r="E20" s="25"/>
      <c r="F20" s="25"/>
      <c r="G20" s="25"/>
      <c r="H20" s="25"/>
      <c r="I20" s="25"/>
      <c r="O20" s="252" t="s">
        <v>32</v>
      </c>
      <c r="P20" s="253">
        <v>7</v>
      </c>
      <c r="Q20" s="253">
        <v>7</v>
      </c>
      <c r="R20" s="255"/>
      <c r="S20" s="254"/>
      <c r="T20" s="254"/>
      <c r="U20" s="254"/>
      <c r="V20" s="208"/>
      <c r="W20" s="209"/>
      <c r="X20" s="210"/>
      <c r="Y20" s="216"/>
    </row>
    <row r="21" spans="1:25" ht="31.5">
      <c r="C21" s="25"/>
      <c r="D21" s="25"/>
      <c r="E21" s="25"/>
      <c r="F21" s="25"/>
      <c r="G21" s="25"/>
      <c r="H21" s="25"/>
      <c r="I21" s="25"/>
      <c r="O21" s="252" t="s">
        <v>33</v>
      </c>
      <c r="P21" s="253">
        <v>2</v>
      </c>
      <c r="Q21" s="253">
        <v>2</v>
      </c>
      <c r="R21" s="255"/>
      <c r="S21" s="254"/>
      <c r="T21" s="254"/>
      <c r="U21" s="254"/>
      <c r="V21" s="195"/>
      <c r="W21" s="195"/>
      <c r="X21" s="210"/>
      <c r="Y21" s="216"/>
    </row>
    <row r="22" spans="1:25" ht="31.5">
      <c r="C22" s="25"/>
      <c r="D22" s="25"/>
      <c r="E22" s="25"/>
      <c r="F22" s="25"/>
      <c r="G22" s="25"/>
      <c r="H22" s="25"/>
      <c r="I22" s="25"/>
      <c r="O22" s="252" t="s">
        <v>34</v>
      </c>
      <c r="P22" s="253">
        <v>3</v>
      </c>
      <c r="Q22" s="253">
        <v>3</v>
      </c>
      <c r="R22" s="255"/>
      <c r="S22" s="254"/>
      <c r="T22" s="254"/>
      <c r="U22" s="254"/>
      <c r="V22" s="195"/>
      <c r="W22" s="195"/>
      <c r="X22" s="196"/>
      <c r="Y22" s="196"/>
    </row>
    <row r="23" spans="1:25" ht="31.5">
      <c r="C23" s="25"/>
      <c r="D23" s="25"/>
      <c r="E23" s="25"/>
      <c r="F23" s="25"/>
      <c r="G23" s="25"/>
      <c r="H23" s="25"/>
      <c r="I23" s="25"/>
      <c r="O23" s="252" t="s">
        <v>35</v>
      </c>
      <c r="P23" s="253">
        <v>17</v>
      </c>
      <c r="Q23" s="253">
        <v>14</v>
      </c>
      <c r="R23" s="253"/>
      <c r="S23" s="253">
        <v>3</v>
      </c>
      <c r="T23" s="255"/>
      <c r="U23" s="254"/>
      <c r="V23" s="209"/>
      <c r="W23" s="209"/>
      <c r="X23" s="196"/>
      <c r="Y23" s="196"/>
    </row>
    <row r="24" spans="1:25" ht="31.5">
      <c r="C24" s="25"/>
      <c r="D24" s="25"/>
      <c r="E24" s="25"/>
      <c r="F24" s="25"/>
      <c r="G24" s="25"/>
      <c r="H24" s="25"/>
      <c r="I24" s="25"/>
      <c r="O24" s="252" t="s">
        <v>36</v>
      </c>
      <c r="P24" s="253">
        <v>3</v>
      </c>
      <c r="Q24" s="253">
        <v>3</v>
      </c>
      <c r="R24" s="255"/>
      <c r="S24" s="254"/>
      <c r="T24" s="254"/>
      <c r="U24" s="254"/>
      <c r="V24" s="196"/>
      <c r="W24" s="196"/>
      <c r="X24" s="210"/>
      <c r="Y24" s="216"/>
    </row>
    <row r="25" spans="1:25">
      <c r="C25" s="25"/>
      <c r="D25" s="25"/>
      <c r="E25" s="25"/>
      <c r="F25" s="25"/>
      <c r="G25" s="25"/>
      <c r="H25" s="25"/>
      <c r="I25" s="25"/>
      <c r="O25" s="252" t="s">
        <v>37</v>
      </c>
      <c r="P25" s="253">
        <v>24</v>
      </c>
      <c r="Q25" s="253">
        <v>19</v>
      </c>
      <c r="R25" s="253"/>
      <c r="S25" s="253">
        <v>4</v>
      </c>
      <c r="T25" s="253"/>
      <c r="U25" s="253">
        <v>1</v>
      </c>
      <c r="V25" s="196"/>
      <c r="W25" s="196"/>
      <c r="X25" s="196"/>
      <c r="Y25" s="196"/>
    </row>
    <row r="26" spans="1:25" ht="61.5">
      <c r="C26" s="25"/>
      <c r="D26" s="25"/>
      <c r="E26" s="25"/>
      <c r="F26" s="25"/>
      <c r="G26" s="25"/>
      <c r="H26" s="25"/>
      <c r="I26" s="25"/>
      <c r="O26" s="252" t="s">
        <v>38</v>
      </c>
      <c r="P26" s="253">
        <v>199</v>
      </c>
      <c r="Q26" s="253">
        <v>159</v>
      </c>
      <c r="R26" s="253"/>
      <c r="S26" s="253">
        <v>39</v>
      </c>
      <c r="T26" s="253"/>
      <c r="U26" s="253">
        <v>1</v>
      </c>
      <c r="V26" s="210"/>
      <c r="W26" s="216"/>
      <c r="X26" s="216"/>
      <c r="Y26" s="216"/>
    </row>
    <row r="27" spans="1:25" ht="61.5">
      <c r="C27" s="25"/>
      <c r="D27" s="25"/>
      <c r="E27" s="25"/>
      <c r="F27" s="25"/>
      <c r="G27" s="25"/>
      <c r="H27" s="25"/>
      <c r="I27" s="25"/>
      <c r="O27" s="252" t="s">
        <v>39</v>
      </c>
      <c r="P27" s="253">
        <v>7</v>
      </c>
      <c r="Q27" s="253">
        <v>6</v>
      </c>
      <c r="R27" s="253"/>
      <c r="S27" s="253">
        <v>1</v>
      </c>
      <c r="T27" s="255"/>
      <c r="U27" s="254"/>
    </row>
    <row r="28" spans="1:25" ht="15.75">
      <c r="B28" s="330"/>
      <c r="C28" s="330"/>
      <c r="D28" s="330"/>
      <c r="E28" s="330"/>
      <c r="F28" s="330"/>
      <c r="G28" s="330"/>
      <c r="H28" s="330"/>
      <c r="I28" s="330"/>
      <c r="P28" s="32">
        <f>SUM(P14:P27)</f>
        <v>393</v>
      </c>
      <c r="Q28" s="32">
        <f>SUM(Q14:Q27)</f>
        <v>290</v>
      </c>
      <c r="S28" s="32">
        <f>SUM(S14:S27)</f>
        <v>97</v>
      </c>
      <c r="U28" s="32">
        <f>SUM(U14:U27)</f>
        <v>6</v>
      </c>
    </row>
    <row r="29" spans="1:25">
      <c r="B29" s="217"/>
      <c r="C29" s="127"/>
      <c r="D29" s="127"/>
      <c r="E29" s="127"/>
      <c r="F29" s="127"/>
      <c r="G29" s="127"/>
      <c r="H29" s="127"/>
      <c r="I29" s="127"/>
    </row>
    <row r="30" spans="1:25">
      <c r="B30" s="217"/>
      <c r="C30" s="127"/>
      <c r="D30" s="127"/>
      <c r="E30" s="127"/>
      <c r="F30" s="127"/>
      <c r="G30" s="127"/>
      <c r="H30" s="127"/>
      <c r="I30" s="127"/>
    </row>
    <row r="31" spans="1:25">
      <c r="B31" s="217"/>
      <c r="C31" s="127"/>
      <c r="D31" s="127"/>
      <c r="E31" s="127"/>
      <c r="F31" s="127"/>
      <c r="G31" s="127"/>
      <c r="H31" s="127"/>
      <c r="I31" s="127"/>
    </row>
    <row r="32" spans="1:25">
      <c r="B32" s="217"/>
      <c r="C32" s="127"/>
      <c r="D32" s="127"/>
      <c r="E32" s="127"/>
      <c r="F32" s="127"/>
      <c r="G32" s="127"/>
      <c r="H32" s="127"/>
      <c r="I32" s="127"/>
    </row>
    <row r="33" spans="2:10">
      <c r="B33" s="217"/>
      <c r="C33" s="127"/>
      <c r="D33" s="127"/>
      <c r="E33" s="127"/>
      <c r="F33" s="127"/>
      <c r="G33" s="127"/>
      <c r="H33" s="127"/>
      <c r="I33" s="127"/>
    </row>
    <row r="34" spans="2:10">
      <c r="B34" s="217"/>
      <c r="C34" s="127"/>
      <c r="D34" s="127"/>
      <c r="E34" s="127"/>
      <c r="F34" s="127"/>
      <c r="G34" s="127"/>
      <c r="H34" s="127"/>
      <c r="I34" s="127"/>
    </row>
    <row r="35" spans="2:10">
      <c r="C35" s="25"/>
      <c r="D35" s="25"/>
      <c r="G35" s="25"/>
      <c r="H35" s="25"/>
      <c r="I35" s="25"/>
    </row>
    <row r="36" spans="2:10" ht="15" customHeight="1">
      <c r="B36" s="319"/>
      <c r="C36" s="319"/>
      <c r="D36" s="319"/>
      <c r="E36" s="319"/>
      <c r="F36" s="319"/>
      <c r="G36" s="319"/>
      <c r="H36" s="319"/>
      <c r="I36" s="319"/>
    </row>
    <row r="38" spans="2:10" ht="21" customHeight="1">
      <c r="B38" s="319"/>
      <c r="C38" s="319"/>
      <c r="D38" s="319"/>
      <c r="E38" s="319"/>
      <c r="F38" s="319"/>
      <c r="G38" s="319"/>
      <c r="H38" s="319"/>
      <c r="I38" s="319"/>
    </row>
    <row r="39" spans="2:10" ht="54.75" customHeight="1">
      <c r="J39" s="98"/>
    </row>
    <row r="40" spans="2:10" ht="27.75" customHeight="1">
      <c r="B40" s="218"/>
      <c r="C40" s="219"/>
      <c r="D40" s="219"/>
      <c r="E40" s="219"/>
      <c r="F40" s="219"/>
      <c r="G40" s="219"/>
      <c r="H40" s="219"/>
      <c r="I40" s="219"/>
    </row>
    <row r="41" spans="2:10" ht="27.75" customHeight="1"/>
    <row r="42" spans="2:10" ht="27.75" customHeight="1"/>
    <row r="43" spans="2:10" ht="27.75" customHeight="1"/>
    <row r="44" spans="2:10" ht="27.75" customHeight="1"/>
    <row r="45" spans="2:10" ht="27.75" customHeight="1"/>
    <row r="46" spans="2:10" ht="27.75" customHeight="1"/>
    <row r="47" spans="2:10" ht="27.75" customHeight="1"/>
    <row r="48" spans="2:10" ht="27.75" customHeight="1"/>
    <row r="52" spans="2:9" ht="12.75">
      <c r="B52" s="331"/>
      <c r="C52" s="331"/>
      <c r="D52" s="331"/>
      <c r="E52" s="331"/>
      <c r="F52" s="331"/>
      <c r="G52" s="331"/>
      <c r="H52" s="331"/>
      <c r="I52" s="331"/>
    </row>
    <row r="53" spans="2:9">
      <c r="B53" s="217"/>
      <c r="C53" s="133"/>
      <c r="D53" s="133"/>
      <c r="E53" s="133"/>
      <c r="F53" s="133"/>
      <c r="G53" s="133"/>
      <c r="H53" s="133"/>
      <c r="I53" s="133"/>
    </row>
    <row r="54" spans="2:9">
      <c r="B54" s="217"/>
      <c r="C54" s="133"/>
      <c r="D54" s="133"/>
      <c r="E54" s="133"/>
      <c r="F54" s="133"/>
      <c r="G54" s="133"/>
      <c r="H54" s="133"/>
      <c r="I54" s="133"/>
    </row>
    <row r="55" spans="2:9">
      <c r="B55" s="217"/>
      <c r="C55" s="133"/>
      <c r="D55" s="133"/>
      <c r="E55" s="133"/>
      <c r="F55" s="133"/>
      <c r="G55" s="133"/>
      <c r="H55" s="133"/>
      <c r="I55" s="133"/>
    </row>
    <row r="56" spans="2:9">
      <c r="B56" s="217"/>
      <c r="C56" s="133"/>
      <c r="D56" s="133"/>
      <c r="E56" s="133"/>
      <c r="F56" s="133"/>
      <c r="G56" s="133"/>
      <c r="H56" s="133"/>
      <c r="I56" s="133"/>
    </row>
    <row r="57" spans="2:9">
      <c r="B57" s="217"/>
      <c r="C57" s="133"/>
      <c r="D57" s="133"/>
      <c r="E57" s="133"/>
      <c r="F57" s="133"/>
      <c r="G57" s="133"/>
      <c r="H57" s="133"/>
      <c r="I57" s="133"/>
    </row>
    <row r="58" spans="2:9">
      <c r="B58" s="217"/>
      <c r="C58" s="133"/>
      <c r="D58" s="133"/>
      <c r="E58" s="133"/>
      <c r="F58" s="133"/>
      <c r="G58" s="133"/>
      <c r="H58" s="133"/>
      <c r="I58" s="133"/>
    </row>
    <row r="60" spans="2:9" ht="15">
      <c r="B60" s="319"/>
      <c r="C60" s="319"/>
      <c r="D60" s="319"/>
      <c r="E60" s="319"/>
      <c r="F60" s="319"/>
      <c r="G60" s="319"/>
      <c r="H60" s="319"/>
      <c r="I60" s="319"/>
    </row>
    <row r="61" spans="2:9" ht="15">
      <c r="B61" s="319"/>
      <c r="C61" s="319"/>
      <c r="D61" s="319"/>
      <c r="E61" s="319"/>
      <c r="F61" s="319"/>
      <c r="G61" s="319"/>
      <c r="H61" s="319"/>
      <c r="I61" s="319"/>
    </row>
    <row r="63" spans="2:9" ht="21" customHeight="1"/>
    <row r="64" spans="2:9" ht="21" customHeight="1"/>
    <row r="65" spans="2:10" ht="54.75" customHeight="1">
      <c r="J65" s="98"/>
    </row>
    <row r="66" spans="2:10" ht="27.75" customHeight="1"/>
    <row r="67" spans="2:10" ht="27.75" customHeight="1"/>
    <row r="68" spans="2:10" ht="27.75" customHeight="1"/>
    <row r="70" spans="2:10" ht="27.75" customHeight="1"/>
    <row r="71" spans="2:10" ht="27.75" customHeight="1"/>
    <row r="75" spans="2:10" ht="12.75">
      <c r="B75" s="331"/>
      <c r="C75" s="331"/>
      <c r="D75" s="331"/>
      <c r="E75" s="331"/>
      <c r="F75" s="331"/>
      <c r="G75" s="331"/>
      <c r="H75" s="331"/>
      <c r="I75" s="331"/>
    </row>
    <row r="76" spans="2:10">
      <c r="B76" s="217"/>
      <c r="C76" s="133"/>
      <c r="D76" s="133"/>
      <c r="E76" s="133"/>
      <c r="F76" s="133"/>
      <c r="G76" s="133"/>
      <c r="H76" s="133"/>
      <c r="I76" s="133"/>
    </row>
    <row r="77" spans="2:10">
      <c r="B77" s="217"/>
      <c r="C77" s="133"/>
      <c r="D77" s="133"/>
      <c r="E77" s="133"/>
      <c r="F77" s="133"/>
      <c r="G77" s="133"/>
      <c r="H77" s="133"/>
      <c r="I77" s="133"/>
    </row>
    <row r="78" spans="2:10">
      <c r="B78" s="217"/>
      <c r="C78" s="133"/>
      <c r="D78" s="133"/>
      <c r="E78" s="133"/>
      <c r="F78" s="133"/>
      <c r="G78" s="133"/>
      <c r="H78" s="133"/>
      <c r="I78" s="133"/>
    </row>
    <row r="79" spans="2:10">
      <c r="B79" s="217"/>
      <c r="C79" s="133"/>
      <c r="D79" s="133"/>
      <c r="E79" s="133"/>
      <c r="F79" s="133"/>
      <c r="G79" s="133"/>
      <c r="H79" s="133"/>
      <c r="I79" s="133"/>
    </row>
    <row r="80" spans="2:10">
      <c r="B80" s="217"/>
      <c r="C80" s="133"/>
      <c r="D80" s="133"/>
      <c r="E80" s="133"/>
      <c r="F80" s="133"/>
      <c r="G80" s="133"/>
      <c r="H80" s="133"/>
      <c r="I80" s="133"/>
    </row>
    <row r="81" spans="2:9">
      <c r="B81" s="217"/>
      <c r="C81" s="133"/>
      <c r="D81" s="133"/>
      <c r="E81" s="133"/>
      <c r="F81" s="133"/>
      <c r="G81" s="133"/>
      <c r="H81" s="133"/>
      <c r="I81" s="133"/>
    </row>
    <row r="83" spans="2:9" ht="15">
      <c r="B83" s="319"/>
      <c r="C83" s="319"/>
      <c r="D83" s="319"/>
      <c r="E83" s="319"/>
      <c r="F83" s="319"/>
      <c r="G83" s="319"/>
      <c r="H83" s="319"/>
      <c r="I83" s="319"/>
    </row>
  </sheetData>
  <sheetProtection selectLockedCells="1" selectUnlockedCells="1"/>
  <mergeCells count="19">
    <mergeCell ref="B60:I60"/>
    <mergeCell ref="B61:I61"/>
    <mergeCell ref="B75:I75"/>
    <mergeCell ref="B83:I83"/>
    <mergeCell ref="B16:I16"/>
    <mergeCell ref="A17:J17"/>
    <mergeCell ref="B28:I28"/>
    <mergeCell ref="B36:I36"/>
    <mergeCell ref="B38:I38"/>
    <mergeCell ref="B52:I52"/>
    <mergeCell ref="B1:I1"/>
    <mergeCell ref="B2:I2"/>
    <mergeCell ref="B3:I3"/>
    <mergeCell ref="B5:I5"/>
    <mergeCell ref="B7:B8"/>
    <mergeCell ref="C7:C8"/>
    <mergeCell ref="D7:G7"/>
    <mergeCell ref="H7:H8"/>
    <mergeCell ref="I7:I8"/>
  </mergeCells>
  <printOptions horizontalCentered="1" verticalCentered="1"/>
  <pageMargins left="0.23622047244094491" right="0.23622047244094491" top="0.82677165354330717" bottom="0.78740157480314965" header="0.51181102362204722" footer="0.15748031496062992"/>
  <pageSetup paperSize="9" scale="50" firstPageNumber="0" orientation="landscape" verticalDpi="300" r:id="rId1"/>
  <headerFooter scaleWithDoc="0" alignWithMargins="0">
    <oddFooter xml:space="preserve">&amp;R&amp;"Verdana,Normale"&amp;8MINISTERO DELLA SALUTE  
Direzione Generale per l'Igiene e la Sicurezza degli Alimenti e la Nutrizione
Pagina 134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4" zoomScale="55" zoomScaleNormal="55" workbookViewId="0">
      <selection activeCell="N45" sqref="N45"/>
    </sheetView>
  </sheetViews>
  <sheetFormatPr defaultRowHeight="12.75"/>
  <cols>
    <col min="1" max="2" width="15.85546875" style="32" customWidth="1"/>
    <col min="3" max="3" width="15.7109375" style="32" customWidth="1"/>
    <col min="4" max="5" width="21.7109375" style="32" customWidth="1"/>
    <col min="6" max="6" width="15.7109375" style="32" customWidth="1"/>
    <col min="7" max="8" width="21.7109375" style="32" customWidth="1"/>
    <col min="9" max="9" width="12.7109375" style="32" customWidth="1"/>
    <col min="10" max="11" width="15.7109375" style="32" customWidth="1"/>
    <col min="12" max="16384" width="9.140625" style="32"/>
  </cols>
  <sheetData>
    <row r="1" spans="1:16" ht="38.25" customHeight="1">
      <c r="A1" s="358" t="s">
        <v>224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6" ht="26.25">
      <c r="A2" s="364" t="s">
        <v>143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6" ht="36" customHeight="1">
      <c r="A3" s="365" t="s">
        <v>223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5" spans="1:16" ht="24.75">
      <c r="A5" s="359" t="s">
        <v>149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</row>
    <row r="6" spans="1:16" ht="13.5" thickBot="1"/>
    <row r="7" spans="1:16" ht="28.5" customHeight="1" thickTop="1" thickBot="1">
      <c r="E7" s="360" t="s">
        <v>151</v>
      </c>
      <c r="F7" s="361"/>
      <c r="G7" s="362" t="s">
        <v>152</v>
      </c>
      <c r="H7" s="363"/>
      <c r="I7" s="220"/>
      <c r="J7" s="220"/>
    </row>
    <row r="8" spans="1:16" ht="17.25" customHeight="1" thickTop="1">
      <c r="D8" s="221" t="s">
        <v>153</v>
      </c>
      <c r="E8" s="222">
        <v>2017</v>
      </c>
      <c r="F8" s="223">
        <v>2018</v>
      </c>
      <c r="G8" s="222">
        <v>2017</v>
      </c>
      <c r="H8" s="223">
        <v>2018</v>
      </c>
      <c r="I8" s="220"/>
      <c r="N8" s="224"/>
      <c r="O8" s="224">
        <v>2017</v>
      </c>
      <c r="P8" s="224">
        <v>2018</v>
      </c>
    </row>
    <row r="9" spans="1:16" ht="27.75" customHeight="1">
      <c r="D9" s="225" t="s">
        <v>9</v>
      </c>
      <c r="E9" s="226">
        <v>3558</v>
      </c>
      <c r="F9" s="227">
        <v>3833</v>
      </c>
      <c r="G9" s="228" t="s">
        <v>154</v>
      </c>
      <c r="H9" s="227" t="s">
        <v>165</v>
      </c>
      <c r="I9" s="220"/>
      <c r="N9" s="229"/>
      <c r="O9" s="229">
        <v>1.2366498032602586</v>
      </c>
      <c r="P9" s="229">
        <v>0.91312288025045663</v>
      </c>
    </row>
    <row r="10" spans="1:16" ht="27.75" customHeight="1" thickBot="1">
      <c r="D10" s="230" t="s">
        <v>10</v>
      </c>
      <c r="E10" s="226">
        <v>3035</v>
      </c>
      <c r="F10" s="227">
        <v>3405</v>
      </c>
      <c r="G10" s="228" t="s">
        <v>155</v>
      </c>
      <c r="H10" s="227" t="s">
        <v>166</v>
      </c>
      <c r="I10" s="220"/>
      <c r="N10" s="231"/>
      <c r="O10" s="231">
        <v>1.4827018121911038</v>
      </c>
      <c r="P10" s="231">
        <v>1.6152716593245229</v>
      </c>
    </row>
    <row r="11" spans="1:16" ht="27.75" customHeight="1" thickTop="1" thickBot="1">
      <c r="D11" s="232" t="s">
        <v>44</v>
      </c>
      <c r="E11" s="226">
        <v>1492</v>
      </c>
      <c r="F11" s="227">
        <v>1541</v>
      </c>
      <c r="G11" s="228" t="s">
        <v>156</v>
      </c>
      <c r="H11" s="227" t="s">
        <v>167</v>
      </c>
      <c r="I11" s="220"/>
      <c r="N11" s="233"/>
      <c r="O11" s="233">
        <v>0.13404825737265416</v>
      </c>
      <c r="P11" s="233">
        <v>0.5191434133679429</v>
      </c>
    </row>
    <row r="12" spans="1:16" ht="21" thickBot="1">
      <c r="D12" s="234" t="s">
        <v>12</v>
      </c>
      <c r="E12" s="226">
        <v>333</v>
      </c>
      <c r="F12" s="227">
        <v>480</v>
      </c>
      <c r="G12" s="228" t="s">
        <v>157</v>
      </c>
      <c r="H12" s="227" t="s">
        <v>157</v>
      </c>
      <c r="I12" s="220"/>
      <c r="O12" s="235">
        <v>0</v>
      </c>
      <c r="P12" s="235">
        <v>0</v>
      </c>
    </row>
    <row r="13" spans="1:16" ht="27.75" customHeight="1" thickBot="1">
      <c r="D13" s="236" t="s">
        <v>13</v>
      </c>
      <c r="E13" s="228">
        <v>732</v>
      </c>
      <c r="F13" s="227">
        <v>872</v>
      </c>
      <c r="G13" s="228" t="s">
        <v>158</v>
      </c>
      <c r="H13" s="227" t="s">
        <v>157</v>
      </c>
      <c r="I13" s="220"/>
      <c r="O13" s="235">
        <v>0</v>
      </c>
      <c r="P13" s="235">
        <v>0</v>
      </c>
    </row>
    <row r="14" spans="1:16" ht="29.25" customHeight="1" thickTop="1" thickBot="1">
      <c r="D14" s="237" t="s">
        <v>159</v>
      </c>
      <c r="E14" s="238">
        <v>75</v>
      </c>
      <c r="F14" s="239">
        <v>56</v>
      </c>
      <c r="G14" s="228" t="s">
        <v>158</v>
      </c>
      <c r="H14" s="227" t="s">
        <v>157</v>
      </c>
      <c r="I14" s="220"/>
      <c r="O14" s="235">
        <v>0</v>
      </c>
      <c r="P14" s="235">
        <v>0</v>
      </c>
    </row>
    <row r="15" spans="1:16" ht="39" customHeight="1" thickTop="1" thickBot="1">
      <c r="D15" s="240" t="s">
        <v>160</v>
      </c>
      <c r="E15" s="241">
        <v>2272</v>
      </c>
      <c r="F15" s="242">
        <v>2163</v>
      </c>
      <c r="G15" s="243" t="s">
        <v>161</v>
      </c>
      <c r="H15" s="244" t="s">
        <v>168</v>
      </c>
      <c r="I15" s="220"/>
      <c r="O15" s="235">
        <v>0.79225352112676051</v>
      </c>
      <c r="P15" s="235">
        <v>0.60101710587147483</v>
      </c>
    </row>
    <row r="16" spans="1:16" ht="34.5" customHeight="1" thickTop="1" thickBot="1">
      <c r="D16" s="245" t="s">
        <v>16</v>
      </c>
      <c r="E16" s="246">
        <v>11497</v>
      </c>
      <c r="F16" s="246">
        <f>SUM(F9:F15)</f>
        <v>12350</v>
      </c>
      <c r="G16" s="247" t="s">
        <v>162</v>
      </c>
      <c r="H16" s="247" t="s">
        <v>169</v>
      </c>
      <c r="I16" s="220"/>
    </row>
    <row r="17" spans="1:11" ht="13.5" thickTop="1">
      <c r="C17" s="133"/>
      <c r="D17" s="133"/>
      <c r="E17" s="133"/>
    </row>
    <row r="18" spans="1:11">
      <c r="C18" s="133"/>
      <c r="D18" s="133"/>
      <c r="E18" s="133"/>
    </row>
    <row r="19" spans="1:11">
      <c r="C19" s="133"/>
      <c r="D19" s="133"/>
      <c r="E19" s="133"/>
    </row>
    <row r="20" spans="1:11">
      <c r="C20" s="133"/>
      <c r="D20" s="133"/>
      <c r="E20" s="133"/>
    </row>
    <row r="21" spans="1:11">
      <c r="C21" s="133"/>
      <c r="D21" s="133"/>
      <c r="E21" s="133"/>
    </row>
    <row r="22" spans="1:11" ht="33.75" customHeight="1">
      <c r="A22" s="356" t="s">
        <v>217</v>
      </c>
      <c r="B22" s="356"/>
      <c r="C22" s="356"/>
      <c r="D22" s="356"/>
      <c r="E22" s="356"/>
      <c r="F22" s="356"/>
      <c r="G22" s="356"/>
      <c r="H22" s="356"/>
      <c r="I22" s="356"/>
      <c r="J22" s="356"/>
      <c r="K22" s="356"/>
    </row>
    <row r="23" spans="1:11">
      <c r="C23" s="133"/>
      <c r="D23" s="133"/>
      <c r="E23" s="133"/>
    </row>
    <row r="24" spans="1:11">
      <c r="C24" s="133"/>
      <c r="D24" s="133"/>
      <c r="E24" s="133"/>
    </row>
    <row r="33" spans="3:7" ht="12.75" customHeight="1">
      <c r="C33" s="357"/>
      <c r="D33" s="357"/>
      <c r="E33" s="357"/>
      <c r="F33" s="357"/>
      <c r="G33" s="357"/>
    </row>
    <row r="44" spans="3:7" ht="12.75" customHeight="1">
      <c r="C44" s="331"/>
      <c r="D44" s="331"/>
      <c r="E44" s="331"/>
      <c r="F44" s="331"/>
      <c r="G44" s="331"/>
    </row>
  </sheetData>
  <sheetProtection selectLockedCells="1" selectUnlockedCells="1"/>
  <mergeCells count="9">
    <mergeCell ref="A22:K22"/>
    <mergeCell ref="C33:G33"/>
    <mergeCell ref="C44:G44"/>
    <mergeCell ref="A1:K1"/>
    <mergeCell ref="A5:K5"/>
    <mergeCell ref="E7:F7"/>
    <mergeCell ref="G7:H7"/>
    <mergeCell ref="A2:K2"/>
    <mergeCell ref="A3:K3"/>
  </mergeCells>
  <printOptions horizontalCentered="1" verticalCentered="1"/>
  <pageMargins left="0.23622047244094491" right="0.19685039370078741" top="0.74803149606299213" bottom="0.98425196850393704" header="0.51181102362204722" footer="0.51181102362204722"/>
  <pageSetup paperSize="9" scale="73" firstPageNumber="0" orientation="landscape" verticalDpi="300" r:id="rId1"/>
  <headerFooter scaleWithDoc="0" alignWithMargins="0">
    <oddFooter>&amp;R&amp;"Verdana,Normale"&amp;8MINISTERO DELLA SALUTE  
Direzione Generale per l'Igiene e la Sicurezza degli Alimenti e la Nutrizione
Pagina  137/138</oddFooter>
  </headerFooter>
  <rowBreaks count="1" manualBreakCount="1">
    <brk id="20" max="1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6"/>
  <sheetViews>
    <sheetView tabSelected="1" view="pageBreakPreview" topLeftCell="E1" zoomScale="115" zoomScaleNormal="100" zoomScaleSheetLayoutView="115" workbookViewId="0">
      <selection activeCell="J28" sqref="J28"/>
    </sheetView>
  </sheetViews>
  <sheetFormatPr defaultRowHeight="12.75"/>
  <cols>
    <col min="1" max="1" width="5.5703125" style="32" customWidth="1"/>
    <col min="2" max="15" width="9.140625" style="32"/>
    <col min="16" max="16" width="5.28515625" style="32" customWidth="1"/>
    <col min="17" max="16384" width="9.140625" style="32"/>
  </cols>
  <sheetData>
    <row r="2" spans="1:22" ht="15">
      <c r="A2" s="366" t="s">
        <v>218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</row>
    <row r="3" spans="1:22">
      <c r="Q3" s="92" t="s">
        <v>163</v>
      </c>
    </row>
    <row r="5" spans="1:22">
      <c r="Q5" s="32">
        <v>6072</v>
      </c>
      <c r="R5" s="32">
        <v>1993</v>
      </c>
      <c r="S5" s="32">
        <v>4370</v>
      </c>
      <c r="T5" s="32">
        <v>1993</v>
      </c>
      <c r="U5" s="32">
        <v>5.6</v>
      </c>
    </row>
    <row r="6" spans="1:22">
      <c r="Q6" s="32">
        <v>7691</v>
      </c>
      <c r="R6" s="32">
        <v>1994</v>
      </c>
      <c r="S6" s="32">
        <v>4370</v>
      </c>
      <c r="T6" s="32">
        <v>1994</v>
      </c>
      <c r="U6" s="32">
        <v>4.8</v>
      </c>
    </row>
    <row r="7" spans="1:22">
      <c r="Q7" s="32">
        <v>7611</v>
      </c>
      <c r="R7" s="32">
        <v>1995</v>
      </c>
      <c r="S7" s="32">
        <v>4370</v>
      </c>
      <c r="T7" s="32">
        <v>1995</v>
      </c>
      <c r="U7" s="32">
        <v>2.2999999999999998</v>
      </c>
    </row>
    <row r="8" spans="1:22">
      <c r="Q8" s="32">
        <v>7194</v>
      </c>
      <c r="R8" s="32">
        <v>1996</v>
      </c>
      <c r="S8" s="32">
        <v>4370</v>
      </c>
      <c r="T8" s="32">
        <v>1996</v>
      </c>
      <c r="U8" s="32">
        <v>2.1</v>
      </c>
      <c r="V8" s="32">
        <v>3</v>
      </c>
    </row>
    <row r="9" spans="1:22">
      <c r="Q9" s="32">
        <v>7356</v>
      </c>
      <c r="R9" s="32">
        <v>1997</v>
      </c>
      <c r="S9" s="32">
        <v>4370</v>
      </c>
      <c r="T9" s="32">
        <v>1997</v>
      </c>
      <c r="U9" s="32">
        <v>1.7</v>
      </c>
      <c r="V9" s="32">
        <v>3.4</v>
      </c>
    </row>
    <row r="10" spans="1:22">
      <c r="Q10" s="32">
        <v>8498</v>
      </c>
      <c r="R10" s="32">
        <v>1998</v>
      </c>
      <c r="S10" s="32">
        <v>4370</v>
      </c>
      <c r="T10" s="32">
        <v>1998</v>
      </c>
      <c r="U10" s="32">
        <v>1.3</v>
      </c>
      <c r="V10" s="32">
        <v>3.3</v>
      </c>
    </row>
    <row r="11" spans="1:22">
      <c r="Q11" s="32">
        <v>7802</v>
      </c>
      <c r="R11" s="32">
        <v>1999</v>
      </c>
      <c r="S11" s="32">
        <v>4370</v>
      </c>
      <c r="T11" s="32">
        <v>1999</v>
      </c>
      <c r="U11" s="32">
        <v>1.3</v>
      </c>
      <c r="V11" s="32">
        <v>4.3</v>
      </c>
    </row>
    <row r="12" spans="1:22">
      <c r="Q12" s="32">
        <v>8001</v>
      </c>
      <c r="R12" s="32">
        <v>2000</v>
      </c>
      <c r="S12" s="32">
        <v>4370</v>
      </c>
      <c r="T12" s="32">
        <v>2000</v>
      </c>
      <c r="U12" s="32">
        <v>2</v>
      </c>
      <c r="V12" s="32">
        <v>4.5</v>
      </c>
    </row>
    <row r="13" spans="1:22">
      <c r="Q13" s="32">
        <v>8857</v>
      </c>
      <c r="R13" s="32">
        <v>2001</v>
      </c>
      <c r="S13" s="32">
        <v>4370</v>
      </c>
      <c r="T13" s="32">
        <v>2001</v>
      </c>
      <c r="U13" s="32">
        <v>1.3</v>
      </c>
      <c r="V13" s="32">
        <v>3.9</v>
      </c>
    </row>
    <row r="14" spans="1:22">
      <c r="Q14" s="32">
        <v>6926</v>
      </c>
      <c r="R14" s="32">
        <v>2002</v>
      </c>
      <c r="S14" s="32">
        <v>4370</v>
      </c>
      <c r="T14" s="32">
        <v>2002</v>
      </c>
      <c r="U14" s="32">
        <v>1.5</v>
      </c>
      <c r="V14" s="32">
        <v>5.5</v>
      </c>
    </row>
    <row r="15" spans="1:22">
      <c r="Q15" s="32">
        <v>6782</v>
      </c>
      <c r="R15" s="32">
        <v>2003</v>
      </c>
      <c r="S15" s="32">
        <v>4370</v>
      </c>
      <c r="T15" s="32">
        <v>2003</v>
      </c>
      <c r="U15" s="32">
        <v>1.8</v>
      </c>
      <c r="V15" s="32">
        <v>5.5</v>
      </c>
    </row>
    <row r="16" spans="1:22">
      <c r="Q16" s="32">
        <v>6413</v>
      </c>
      <c r="R16" s="32">
        <v>2004</v>
      </c>
      <c r="S16" s="32">
        <v>4370</v>
      </c>
      <c r="T16" s="32">
        <v>2004</v>
      </c>
      <c r="U16" s="32">
        <v>1.3</v>
      </c>
      <c r="V16" s="32">
        <v>5</v>
      </c>
    </row>
    <row r="17" spans="17:22">
      <c r="Q17" s="32">
        <v>6330</v>
      </c>
      <c r="R17" s="32">
        <v>2005</v>
      </c>
      <c r="S17" s="32">
        <v>4370</v>
      </c>
      <c r="T17" s="32">
        <v>2005</v>
      </c>
      <c r="U17" s="32">
        <v>1.5</v>
      </c>
      <c r="V17" s="32">
        <v>5</v>
      </c>
    </row>
    <row r="18" spans="17:22">
      <c r="Q18" s="32">
        <v>6822</v>
      </c>
      <c r="R18" s="32">
        <v>2006</v>
      </c>
      <c r="S18" s="32">
        <v>4370</v>
      </c>
      <c r="T18" s="32">
        <v>2006</v>
      </c>
      <c r="U18" s="32">
        <v>1</v>
      </c>
      <c r="V18" s="248">
        <v>4.7</v>
      </c>
    </row>
    <row r="19" spans="17:22">
      <c r="Q19" s="32">
        <v>6845</v>
      </c>
      <c r="R19" s="32">
        <v>2007</v>
      </c>
      <c r="S19" s="32">
        <v>4370</v>
      </c>
      <c r="T19" s="32">
        <v>2007</v>
      </c>
      <c r="U19" s="248">
        <v>1.1000000000000001</v>
      </c>
      <c r="V19" s="32">
        <v>4</v>
      </c>
    </row>
    <row r="20" spans="17:22">
      <c r="Q20" s="32">
        <v>5515</v>
      </c>
      <c r="R20" s="32">
        <v>2008</v>
      </c>
      <c r="S20" s="32">
        <v>4370</v>
      </c>
      <c r="T20" s="32">
        <v>2008</v>
      </c>
      <c r="U20" s="32">
        <v>1.1000000000000001</v>
      </c>
      <c r="V20" s="32">
        <v>3.5</v>
      </c>
    </row>
    <row r="21" spans="17:22">
      <c r="Q21" s="32">
        <v>4595</v>
      </c>
      <c r="R21" s="32">
        <v>2009</v>
      </c>
      <c r="S21" s="32">
        <v>4370</v>
      </c>
      <c r="T21" s="32">
        <v>2009</v>
      </c>
      <c r="U21" s="32">
        <v>0.7</v>
      </c>
      <c r="V21" s="32">
        <v>2.6</v>
      </c>
    </row>
    <row r="22" spans="17:22">
      <c r="Q22" s="32">
        <v>5376</v>
      </c>
      <c r="R22" s="32">
        <v>2010</v>
      </c>
      <c r="S22" s="32">
        <v>4370</v>
      </c>
      <c r="T22" s="32">
        <v>2010</v>
      </c>
      <c r="U22" s="32">
        <v>0.4</v>
      </c>
      <c r="V22" s="60">
        <v>1.6</v>
      </c>
    </row>
    <row r="23" spans="17:22">
      <c r="R23" s="32">
        <v>2011</v>
      </c>
      <c r="T23" s="32">
        <v>2011</v>
      </c>
      <c r="U23" s="32">
        <v>0.4</v>
      </c>
      <c r="V23" s="60">
        <v>1.5</v>
      </c>
    </row>
    <row r="24" spans="17:22">
      <c r="T24" s="32">
        <v>2012</v>
      </c>
      <c r="U24" s="32">
        <v>0.4</v>
      </c>
      <c r="V24" s="60">
        <v>1.7</v>
      </c>
    </row>
    <row r="25" spans="17:22">
      <c r="T25" s="32">
        <v>2013</v>
      </c>
      <c r="U25" s="32">
        <v>0.5</v>
      </c>
      <c r="V25" s="60">
        <v>1.5</v>
      </c>
    </row>
    <row r="26" spans="17:22">
      <c r="T26" s="32">
        <v>2014</v>
      </c>
      <c r="U26" s="32">
        <v>0.3</v>
      </c>
      <c r="V26" s="60">
        <v>1.6</v>
      </c>
    </row>
    <row r="27" spans="17:22">
      <c r="T27" s="32">
        <v>2015</v>
      </c>
      <c r="U27" s="32">
        <v>1.1000000000000001</v>
      </c>
      <c r="V27" s="60">
        <v>1.6</v>
      </c>
    </row>
    <row r="28" spans="17:22">
      <c r="T28" s="32">
        <v>2016</v>
      </c>
      <c r="U28" s="32">
        <v>0.8</v>
      </c>
      <c r="V28" s="60">
        <v>2.2000000000000002</v>
      </c>
    </row>
    <row r="29" spans="17:22">
      <c r="T29" s="32">
        <v>2017</v>
      </c>
      <c r="U29" s="32">
        <v>0.9</v>
      </c>
    </row>
    <row r="30" spans="17:22">
      <c r="T30" s="32">
        <v>2018</v>
      </c>
      <c r="U30" s="32">
        <v>0.9</v>
      </c>
    </row>
    <row r="33" spans="2:15" ht="12.75" customHeight="1">
      <c r="H33" s="357"/>
      <c r="I33" s="357"/>
    </row>
    <row r="36" spans="2:15" ht="15">
      <c r="B36" s="83"/>
      <c r="C36" s="83"/>
      <c r="D36" s="83"/>
      <c r="E36" s="83"/>
      <c r="F36" s="83"/>
      <c r="G36" s="83"/>
      <c r="I36" s="249"/>
      <c r="J36" s="83"/>
      <c r="K36" s="83"/>
      <c r="L36" s="83"/>
      <c r="M36" s="83"/>
      <c r="N36" s="83"/>
      <c r="O36" s="83"/>
    </row>
  </sheetData>
  <sheetProtection selectLockedCells="1" selectUnlockedCells="1"/>
  <mergeCells count="2">
    <mergeCell ref="A2:P2"/>
    <mergeCell ref="H33:I33"/>
  </mergeCells>
  <hyperlinks>
    <hyperlink ref="Q3" location="Indice!A1" display="Indice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9" firstPageNumber="0" orientation="landscape" verticalDpi="300" r:id="rId1"/>
  <headerFooter scaleWithDoc="0" alignWithMargins="0">
    <oddFooter>&amp;R&amp;8MINISTERO DELLA SALUTE  
Direzione Generale per l'Igiene e la Sicurezza degli Alimenti e la Nutrizione
Pagina  146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14</vt:i4>
      </vt:variant>
    </vt:vector>
  </HeadingPairs>
  <TitlesOfParts>
    <vt:vector size="23" baseType="lpstr">
      <vt:lpstr>T1 programmazione nazionale  </vt:lpstr>
      <vt:lpstr>T2a programmazione europea v</vt:lpstr>
      <vt:lpstr>T2b programmazione europea A</vt:lpstr>
      <vt:lpstr>T3 Risultati Totali </vt:lpstr>
      <vt:lpstr>T4 risultati regionali</vt:lpstr>
      <vt:lpstr>T5 risultati europei</vt:lpstr>
      <vt:lpstr>T6 risultati all'import</vt:lpstr>
      <vt:lpstr>T7 e Graf.8</vt:lpstr>
      <vt:lpstr>Graf. 9</vt:lpstr>
      <vt:lpstr>'Graf. 9'!Area_stampa</vt:lpstr>
      <vt:lpstr>'T1 programmazione nazionale  '!Area_stampa</vt:lpstr>
      <vt:lpstr>'T2a programmazione europea v'!Area_stampa</vt:lpstr>
      <vt:lpstr>'T2b programmazione europea A'!Area_stampa</vt:lpstr>
      <vt:lpstr>'T3 Risultati Totali '!Area_stampa</vt:lpstr>
      <vt:lpstr>'T4 risultati regionali'!Area_stampa</vt:lpstr>
      <vt:lpstr>'T5 risultati europei'!Area_stampa</vt:lpstr>
      <vt:lpstr>'T6 risultati all''import'!Area_stampa</vt:lpstr>
      <vt:lpstr>'T7 e Graf.8'!Area_stampa</vt:lpstr>
      <vt:lpstr>'T1 programmazione nazionale  '!Titoli_stampa</vt:lpstr>
      <vt:lpstr>'T3 Risultati Totali '!Titoli_stampa</vt:lpstr>
      <vt:lpstr>'T5 risultati europei'!Titoli_stampa</vt:lpstr>
      <vt:lpstr>'T6 risultati all''import'!Titoli_stampa</vt:lpstr>
      <vt:lpstr>'T7 e Graf.8'!Titoli_stampa</vt:lpstr>
    </vt:vector>
  </TitlesOfParts>
  <Company>Olidata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Aloi Roberta</dc:creator>
  <cp:lastModifiedBy>Utente</cp:lastModifiedBy>
  <cp:lastPrinted>2019-06-03T10:00:31Z</cp:lastPrinted>
  <dcterms:created xsi:type="dcterms:W3CDTF">2019-05-31T14:06:15Z</dcterms:created>
  <dcterms:modified xsi:type="dcterms:W3CDTF">2019-07-01T10:24:17Z</dcterms:modified>
</cp:coreProperties>
</file>