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55" yWindow="1155" windowWidth="19320" windowHeight="15480" tabRatio="837" activeTab="0"/>
  </bookViews>
  <sheets>
    <sheet name="Offerta Economica" sheetId="1" r:id="rId1"/>
    <sheet name="Tabella A - old" sheetId="2" state="hidden" r:id="rId2"/>
    <sheet name="Tabella A" sheetId="3" r:id="rId3"/>
    <sheet name="Tabella B - old" sheetId="4" state="hidden" r:id="rId4"/>
    <sheet name="Tabella B" sheetId="5" r:id="rId5"/>
    <sheet name="Tabella C - old" sheetId="6" state="hidden" r:id="rId6"/>
    <sheet name="Tabella C" sheetId="7" r:id="rId7"/>
    <sheet name="Tabella D" sheetId="8" r:id="rId8"/>
    <sheet name="Analisi scenari" sheetId="9" state="hidden" r:id="rId9"/>
    <sheet name="Riepilogo offerta" sheetId="10" state="hidden" r:id="rId10"/>
    <sheet name="Confronti contratti (Tahiri)" sheetId="11" state="hidden" r:id="rId11"/>
    <sheet name="HP-PE (Dettagli Prezzi)" sheetId="12" state="hidden" r:id="rId12"/>
    <sheet name="calcolo volumi GO SERVER" sheetId="13" state="hidden" r:id="rId13"/>
  </sheets>
  <definedNames>
    <definedName name="_xlnm.Print_Area" localSheetId="11">'HP-PE (Dettagli Prezzi)'!$B$3:$G$54</definedName>
    <definedName name="_xlnm.Print_Area" localSheetId="1">'Tabella A - old'!$A$3:$F$39</definedName>
    <definedName name="_xlnm.Print_Area" localSheetId="6">'Tabella C'!$B$4:$F$38</definedName>
  </definedNames>
  <calcPr fullCalcOnLoad="1"/>
</workbook>
</file>

<file path=xl/comments11.xml><?xml version="1.0" encoding="utf-8"?>
<comments xmlns="http://schemas.openxmlformats.org/spreadsheetml/2006/main">
  <authors>
    <author>filippo.neroni</author>
  </authors>
  <commentList>
    <comment ref="A9" authorId="0">
      <text>
        <r>
          <rPr>
            <b/>
            <sz val="9"/>
            <rFont val="Tahoma"/>
            <family val="2"/>
          </rPr>
          <t>filippo.neroni:</t>
        </r>
        <r>
          <rPr>
            <sz val="9"/>
            <rFont val="Tahoma"/>
            <family val="2"/>
          </rPr>
          <t xml:space="preserve">
da riepilogo RDL</t>
        </r>
      </text>
    </comment>
  </commentList>
</comments>
</file>

<file path=xl/comments12.xml><?xml version="1.0" encoding="utf-8"?>
<comments xmlns="http://schemas.openxmlformats.org/spreadsheetml/2006/main">
  <authors>
    <author>locche</author>
  </authors>
  <commentList>
    <comment ref="D9" authorId="0">
      <text>
        <r>
          <rPr>
            <b/>
            <sz val="9"/>
            <rFont val="Tahoma"/>
            <family val="2"/>
          </rPr>
          <t>locche:</t>
        </r>
        <r>
          <rPr>
            <sz val="9"/>
            <rFont val="Tahoma"/>
            <family val="2"/>
          </rPr>
          <t xml:space="preserve">
Relativi a 90 server gestiti</t>
        </r>
      </text>
    </comment>
  </commentList>
</comments>
</file>

<file path=xl/comments4.xml><?xml version="1.0" encoding="utf-8"?>
<comments xmlns="http://schemas.openxmlformats.org/spreadsheetml/2006/main">
  <authors>
    <author>autore</author>
  </authors>
  <commentList>
    <comment ref="F16" authorId="0">
      <text>
        <r>
          <rPr>
            <b/>
            <sz val="9"/>
            <rFont val="Tahoma"/>
            <family val="2"/>
          </rPr>
          <t xml:space="preserve">Stima del valore delle licenze da acquisire al quale applicare la % di mark-up
</t>
        </r>
        <r>
          <rPr>
            <sz val="9"/>
            <rFont val="Tahoma"/>
            <family val="2"/>
          </rPr>
          <t xml:space="preserve">
</t>
        </r>
      </text>
    </comment>
  </commentList>
</comments>
</file>

<file path=xl/comments6.xml><?xml version="1.0" encoding="utf-8"?>
<comments xmlns="http://schemas.openxmlformats.org/spreadsheetml/2006/main">
  <authors>
    <author>autore</author>
  </authors>
  <commentList>
    <comment ref="H4" authorId="0">
      <text>
        <r>
          <rPr>
            <sz val="8"/>
            <rFont val="Tahoma"/>
            <family val="2"/>
          </rPr>
          <t>L'arrotondamento è necessario per evitare che, inserendo valori con più di 2 decimali, i calcoli di excel non corrispondano con i calcoli manuali fatti sulla base dei valori mostrati nella tabella.</t>
        </r>
        <r>
          <rPr>
            <sz val="8"/>
            <rFont val="Tahoma"/>
            <family val="2"/>
          </rPr>
          <t xml:space="preserve">
</t>
        </r>
      </text>
    </comment>
    <comment ref="E6" authorId="0">
      <text>
        <r>
          <rPr>
            <sz val="9"/>
            <rFont val="Tahoma"/>
            <family val="2"/>
          </rPr>
          <t xml:space="preserve">Il valore MIX è definito nella tabella D
</t>
        </r>
      </text>
    </comment>
    <comment ref="E15" authorId="0">
      <text>
        <r>
          <rPr>
            <sz val="9"/>
            <rFont val="Tahoma"/>
            <family val="2"/>
          </rPr>
          <t xml:space="preserve">Il valore MIX è definito nella tabella D
</t>
        </r>
      </text>
    </comment>
  </commentList>
</comments>
</file>

<file path=xl/comments7.xml><?xml version="1.0" encoding="utf-8"?>
<comments xmlns="http://schemas.openxmlformats.org/spreadsheetml/2006/main">
  <authors>
    <author>autore</author>
  </authors>
  <commentList>
    <comment ref="H4" authorId="0">
      <text>
        <r>
          <rPr>
            <sz val="8"/>
            <rFont val="Tahoma"/>
            <family val="2"/>
          </rPr>
          <t>L'arrotondamento è necessario per evitare che, inserendo valori con più di 2 decimali, i calcoli di excel non corrispondano con i calcoli manuali fatti sulla base dei valori mostrati nella tabella.</t>
        </r>
        <r>
          <rPr>
            <sz val="8"/>
            <rFont val="Tahoma"/>
            <family val="2"/>
          </rPr>
          <t xml:space="preserve">
</t>
        </r>
      </text>
    </comment>
    <comment ref="C21" authorId="0">
      <text>
        <r>
          <rPr>
            <b/>
            <sz val="9"/>
            <rFont val="Tahoma"/>
            <family val="2"/>
          </rPr>
          <t>autore:</t>
        </r>
        <r>
          <rPr>
            <sz val="9"/>
            <rFont val="Tahoma"/>
            <family val="2"/>
          </rPr>
          <t xml:space="preserve">
Sottoservizio e relativa tariffa trasferita dal PM</t>
        </r>
      </text>
    </comment>
  </commentList>
</comments>
</file>

<file path=xl/sharedStrings.xml><?xml version="1.0" encoding="utf-8"?>
<sst xmlns="http://schemas.openxmlformats.org/spreadsheetml/2006/main" count="1365" uniqueCount="600">
  <si>
    <t>Service Desk</t>
  </si>
  <si>
    <t>Anno 1</t>
  </si>
  <si>
    <t>Anno 2</t>
  </si>
  <si>
    <t>Anno 3</t>
  </si>
  <si>
    <t>Anno 4</t>
  </si>
  <si>
    <t>Anno 5</t>
  </si>
  <si>
    <t>Partner</t>
  </si>
  <si>
    <t>Master</t>
  </si>
  <si>
    <t>Specialista</t>
  </si>
  <si>
    <t>Esperto</t>
  </si>
  <si>
    <t>Tecnico Senior</t>
  </si>
  <si>
    <t>Tecnico</t>
  </si>
  <si>
    <t>Operativo</t>
  </si>
  <si>
    <t>Prestazione</t>
  </si>
  <si>
    <t>Componente di fornitura</t>
  </si>
  <si>
    <t>Modalità di valorizzazione</t>
  </si>
  <si>
    <t>Euro/UCS</t>
  </si>
  <si>
    <t>Consumo in gg/uu</t>
  </si>
  <si>
    <t>Euro/g - MIX</t>
  </si>
  <si>
    <t>Manutenzione prodotti sw</t>
  </si>
  <si>
    <t>Consumo per sw in gestione valutabile a FP</t>
  </si>
  <si>
    <t>Euro/FP/anno</t>
  </si>
  <si>
    <t>Consumo in funzione del valore economico del prodotto realizzato mediante personalizzazione dei prodotti di mercato</t>
  </si>
  <si>
    <t>Euro/hWBT/CBT</t>
  </si>
  <si>
    <t>Euro/g - Tutor</t>
  </si>
  <si>
    <t>Supporto gestione siti internet/intranet</t>
  </si>
  <si>
    <t>Supporto informatico</t>
  </si>
  <si>
    <t>Acquisizione beni e servizi - Licenze e prodotti sw</t>
  </si>
  <si>
    <t>Consumo (valore acquisizione + % per oneri di acquisizione)</t>
  </si>
  <si>
    <t>Euro</t>
  </si>
  <si>
    <t>Consumo</t>
  </si>
  <si>
    <t>Forfait</t>
  </si>
  <si>
    <t>Euro/mese</t>
  </si>
  <si>
    <t>Program Management</t>
  </si>
  <si>
    <t xml:space="preserve">Forfait </t>
  </si>
  <si>
    <t>Consumo con massimale</t>
  </si>
  <si>
    <t>Trasferimento a fine contratto</t>
  </si>
  <si>
    <t>Sistema di Reporting</t>
  </si>
  <si>
    <t>Servizio di Hosting (Server)</t>
  </si>
  <si>
    <t>Servizio di Hosting (Memoria)</t>
  </si>
  <si>
    <t>Posta Elettronica</t>
  </si>
  <si>
    <t>Consumo a UCS (unità di Costo Sw)</t>
  </si>
  <si>
    <t>Tariffa</t>
  </si>
  <si>
    <t>Tariffa (IVA Esclusa)</t>
  </si>
  <si>
    <t>Euro/gg persona</t>
  </si>
  <si>
    <t>Gestione Operativa</t>
  </si>
  <si>
    <t>Unità di volume</t>
  </si>
  <si>
    <t>UCS</t>
  </si>
  <si>
    <t>gg/MIX</t>
  </si>
  <si>
    <t>FP (in gestione)</t>
  </si>
  <si>
    <t>Manutenzione prodotti sw (misurabili in FP)</t>
  </si>
  <si>
    <t>Manutenzione prodotti sw (personalizzazioni)</t>
  </si>
  <si>
    <t>Euro (valore acquisizioni)</t>
  </si>
  <si>
    <t>Tagliandi</t>
  </si>
  <si>
    <t>Euro/tagliando</t>
  </si>
  <si>
    <t>Gestione operativa</t>
  </si>
  <si>
    <t>Terabyte</t>
  </si>
  <si>
    <t>N° caselle attive</t>
  </si>
  <si>
    <t>N° PdL</t>
  </si>
  <si>
    <t>Percentuale</t>
  </si>
  <si>
    <t>Gestione Ambiente Distributito</t>
  </si>
  <si>
    <t>Gestione Ambiente Distribuito</t>
  </si>
  <si>
    <t>Euro/casella/anno</t>
  </si>
  <si>
    <t>T1</t>
  </si>
  <si>
    <t>T2</t>
  </si>
  <si>
    <t>T3</t>
  </si>
  <si>
    <t>PA</t>
  </si>
  <si>
    <t>PA + DB</t>
  </si>
  <si>
    <t>DB</t>
  </si>
  <si>
    <t>C</t>
  </si>
  <si>
    <t>NC</t>
  </si>
  <si>
    <t>Euro/Server-mese</t>
  </si>
  <si>
    <t>Distribuzione per classe di tecnologia</t>
  </si>
  <si>
    <t>FCT1</t>
  </si>
  <si>
    <t>FCT2</t>
  </si>
  <si>
    <t>FCT3</t>
  </si>
  <si>
    <t>Euro/Terabyte/mese</t>
  </si>
  <si>
    <t>Euro/PdL/mese</t>
  </si>
  <si>
    <t>Distribuzione per classe di servizio</t>
  </si>
  <si>
    <t>Fornitura: server classe di tecnologia T2</t>
  </si>
  <si>
    <t>Sviluppo SW applicativo e MEV</t>
  </si>
  <si>
    <t>Formazione</t>
  </si>
  <si>
    <t>Supporto tecnico-specialistico</t>
  </si>
  <si>
    <t>Acquisizione Beni e Servizi</t>
  </si>
  <si>
    <t>Trasferimento</t>
  </si>
  <si>
    <t>Hosting</t>
  </si>
  <si>
    <t>Manutenzione del SW (MAC)</t>
  </si>
  <si>
    <t>Addestramento di tipo tradizionale (in aula/TOJ)</t>
  </si>
  <si>
    <t>gg aula/docente partner</t>
  </si>
  <si>
    <t>gg aula/docente</t>
  </si>
  <si>
    <t>Addestramento in E-learning (realizzazione WBT/CBT)</t>
  </si>
  <si>
    <t>Ore fruizione WBT/CBT</t>
  </si>
  <si>
    <t>Assistenza Tutor ai corsi</t>
  </si>
  <si>
    <t>gg Tutor</t>
  </si>
  <si>
    <t>Assistenza per community e gestione piattaforma</t>
  </si>
  <si>
    <t xml:space="preserve">gg Tutor </t>
  </si>
  <si>
    <t>Euro/g - Docente partner</t>
  </si>
  <si>
    <t xml:space="preserve">Euro/g - Docente </t>
  </si>
  <si>
    <t>Addestramento di tipo tradizionale</t>
  </si>
  <si>
    <t xml:space="preserve">Ministero della Salute </t>
  </si>
  <si>
    <t>OFFERTA ECONOMICA</t>
  </si>
  <si>
    <t>Foglio excel di supporto per la compilazione della tabella di riepilogo dell'offerta economica. Per i dettagli si rimanda all'Annesso 1 del Disciplinare di gara</t>
  </si>
  <si>
    <t>Servizio di program management (Sistema di Reporting escluso)</t>
  </si>
  <si>
    <t>Supporto Evoluzione Infrastruttura</t>
  </si>
  <si>
    <t>Gestione Sistema di Reporting</t>
  </si>
  <si>
    <t xml:space="preserve">Consumo </t>
  </si>
  <si>
    <t>Certificazione dei prodotti terze parti</t>
  </si>
  <si>
    <t xml:space="preserve">Verifica delle applicazioni da prendere in carico </t>
  </si>
  <si>
    <t>Porting applicativo</t>
  </si>
  <si>
    <t>Supporto controllo dati</t>
  </si>
  <si>
    <t>Gestione sito web e intranet</t>
  </si>
  <si>
    <t>Personalizzazione prodotti di mercato</t>
  </si>
  <si>
    <t>MEV</t>
  </si>
  <si>
    <t>gg/p</t>
  </si>
  <si>
    <t>Totale</t>
  </si>
  <si>
    <t>Server T1 complesso</t>
  </si>
  <si>
    <t xml:space="preserve">Serer T1 Non Complesso </t>
  </si>
  <si>
    <t>Server t1 DB complesso</t>
  </si>
  <si>
    <t>Server t1 DB non complesso</t>
  </si>
  <si>
    <t>Server T2 complesso</t>
  </si>
  <si>
    <t xml:space="preserve">Serer T2 Non Complesso </t>
  </si>
  <si>
    <t>Server t2 DB complesso</t>
  </si>
  <si>
    <t xml:space="preserve">Server t2 DB non complesso </t>
  </si>
  <si>
    <t>Server T3 complesso</t>
  </si>
  <si>
    <t xml:space="preserve">Serer T3 Non Complesso </t>
  </si>
  <si>
    <t>Server t3 DB complesso</t>
  </si>
  <si>
    <t>Server t3 DB  non complesso</t>
  </si>
  <si>
    <t>Implementazione Evoluzioni Infrastrutturali</t>
  </si>
  <si>
    <t>complesso</t>
  </si>
  <si>
    <t>non complesso</t>
  </si>
  <si>
    <t>pa</t>
  </si>
  <si>
    <t>pa+db</t>
  </si>
  <si>
    <t>db</t>
  </si>
  <si>
    <t>Pa complesso</t>
  </si>
  <si>
    <t>DB Complesso</t>
  </si>
  <si>
    <t>PA non complesso</t>
  </si>
  <si>
    <t>DB non compleso</t>
  </si>
  <si>
    <t xml:space="preserve"> </t>
  </si>
  <si>
    <t xml:space="preserve">Se NR server </t>
  </si>
  <si>
    <t xml:space="preserve">Inserire nei volumi </t>
  </si>
  <si>
    <t>Gestione Operativa - Hosting</t>
  </si>
  <si>
    <t xml:space="preserve">Servizio di program management </t>
  </si>
  <si>
    <t>Euro/anno</t>
  </si>
  <si>
    <t>da dati di storico 2008-2011</t>
  </si>
  <si>
    <t>Proposte intervento</t>
  </si>
  <si>
    <t>importo totale come da precedente contratto</t>
  </si>
  <si>
    <t>gg/p prese dal servizio di Nuovo sviluppo (1/3 gg/p della gestione)</t>
  </si>
  <si>
    <t xml:space="preserve">Sono state trasferite 100h fruizione in gg/docenza. Si sono utilizzate le tariffe dei profili del precedente contratto aumentate del 20%. </t>
  </si>
  <si>
    <t>Sono state meglio definite le attività di tutor e le giornate dedicate all'assistenza sui corsi e sulla piattaforma.
La tariffa è stata aumentata del 15%</t>
  </si>
  <si>
    <t xml:space="preserve"> offerta FOR nel precedente contratto di 20.000 UCS MEV e NS
da storico sono stati consumati in 4 anni 45.537 UCS (MEV e NS). Doppio rispetto alla offerta
</t>
  </si>
  <si>
    <t xml:space="preserve">Baseline storico 72.600 FP a giu-2011.
Da offerta FOR era gestita 56.998 FP
</t>
  </si>
  <si>
    <t>Stima Euro TOT nuovo contratto</t>
  </si>
  <si>
    <t>secondo massimale fornito da AMM. (uff statistica)</t>
  </si>
  <si>
    <t>Si è considerato un decremento fisiologico del 5% annuo della baseline gestita per SW non piu' in esercizio.
Come ulteriore ipotesi si è considerato un incremento della baseline annuale relativo alla manutenzione degli interventi di personalizzazione e all'impatto delle MEV seguendo le regole contrattualmente esistenti.</t>
  </si>
  <si>
    <t xml:space="preserve">I primi 2 anni del precendente contratto erano ridotti a 660 gg/p rispetto al volume  standar di 880 gg/p.
</t>
  </si>
  <si>
    <t>Sono stati considerati gli stessi dati del contratto precedente</t>
  </si>
  <si>
    <t>Nuovo servizio richiesto dall'AMM</t>
  </si>
  <si>
    <t>l'AMM ha indicato l'utilizzo di 2 risorse FTE</t>
  </si>
  <si>
    <t>Realizzazione prodotti sw - Sviluppo ad hoc - MEV</t>
  </si>
  <si>
    <t>Sviluppo SW (escluso uff. Statistica)</t>
  </si>
  <si>
    <t>MEV (escluso uff. Statistica)</t>
  </si>
  <si>
    <t>Sviluppo SW per uff. Statistica</t>
  </si>
  <si>
    <t>MEV  per uff. Statistica</t>
  </si>
  <si>
    <t>Personalizzazione prodotti mercato per uff. Statistica</t>
  </si>
  <si>
    <t>Personalizzazione prodotti di mercato (escluso uff. Statistica)</t>
  </si>
  <si>
    <t>Sviluppo SW</t>
  </si>
  <si>
    <t>Standard</t>
  </si>
  <si>
    <t>Super</t>
  </si>
  <si>
    <t>Extra</t>
  </si>
  <si>
    <t>Categoria utente Standard</t>
  </si>
  <si>
    <t>Categoria utente Super</t>
  </si>
  <si>
    <t>Categoria utente Extra</t>
  </si>
  <si>
    <t>Categoria utente Grandi Utenti</t>
  </si>
  <si>
    <t>L'incremento dell'importo è dovuto all'inserimento nel valore delle licenze client Exchange. Nel precedente contratto erano state acquistate direttamente dall'AMM</t>
  </si>
  <si>
    <t>SERVIZIO</t>
  </si>
  <si>
    <t>Gestione cablaggi</t>
  </si>
  <si>
    <t>HP costi gestione servizio PEL</t>
  </si>
  <si>
    <t>Tariffe da contratto proposto</t>
  </si>
  <si>
    <t>Servizi: Server P/A  complessi</t>
  </si>
  <si>
    <t>Umità misura</t>
  </si>
  <si>
    <t>Costi</t>
  </si>
  <si>
    <t>4) Costo a Gb di memoria gestita</t>
  </si>
  <si>
    <t>Euro GB/mese</t>
  </si>
  <si>
    <t>6) costo licenze 2 SO windows server + SW antivirus antispam</t>
  </si>
  <si>
    <t>7) Ipotesi sconto SPLA licenze Exchange per numeri elevati</t>
  </si>
  <si>
    <t xml:space="preserve">Percentuale </t>
  </si>
  <si>
    <t>Categorie utenti</t>
  </si>
  <si>
    <t>Dimensione casella (Gb)</t>
  </si>
  <si>
    <t>Numero Caselle</t>
  </si>
  <si>
    <t>Grandi utenti</t>
  </si>
  <si>
    <t>Il costo base per casella/mese indipendentemente dalla dimensione della casella è (1+2+3+6)/numero totale caselle</t>
  </si>
  <si>
    <t>costo licence SPLA casella/mese (5)</t>
  </si>
  <si>
    <t>Costi per categaria utenti</t>
  </si>
  <si>
    <t>Importo casella/mese</t>
  </si>
  <si>
    <t>Importo caselle/anno</t>
  </si>
  <si>
    <t>Quota parte fissa/mese</t>
  </si>
  <si>
    <t>Quota parte Storage/mese</t>
  </si>
  <si>
    <t>Importo totale/mese</t>
  </si>
  <si>
    <t>Standard (500 Mb)</t>
  </si>
  <si>
    <t>Super (1 Gb)</t>
  </si>
  <si>
    <t>Extra (2 Gb)</t>
  </si>
  <si>
    <t>Grandi utenti (10 Gb)</t>
  </si>
  <si>
    <t>Dati mercato caselle Exchange</t>
  </si>
  <si>
    <t>http://we.register.it/email/exchange.html</t>
  </si>
  <si>
    <t>costo casella exchange 1 Gb/anno</t>
  </si>
  <si>
    <t>http://www.alimail.it/listino_Exchange_hosting_e-mail_professionale.htm</t>
  </si>
  <si>
    <t>costo casella 500 Mb/anno</t>
  </si>
  <si>
    <t>costo casella 1Gb /anno</t>
  </si>
  <si>
    <t>http://www.microsoft.com/exchange/en-us/pricing-exchange-online-email.aspx</t>
  </si>
  <si>
    <t>costo casella ONLINE 25 Gb/anno</t>
  </si>
  <si>
    <t>http://www.microsoft.com/exchange/en-us/pricing-exchange-server-email.aspx</t>
  </si>
  <si>
    <t>costo casella CAL Exhange / anno</t>
  </si>
  <si>
    <t>http://www.senetic.it/microsoft/open/commerciale/server/exchange_enterprise_cal/</t>
  </si>
  <si>
    <t>5) costo licenza Exchange per casella/mese</t>
  </si>
  <si>
    <t>1) utilizzo 2 server tipologia T2 in cluster</t>
  </si>
  <si>
    <t>2) utilizzo di servizi classe PA  complessi (Exchange, antispam, antivirus, …)</t>
  </si>
  <si>
    <t>3) Gestione operativa per 2 server</t>
  </si>
  <si>
    <t>RIEPILOGO OFFERTA</t>
  </si>
  <si>
    <t>Ipotesi di base per le stime</t>
  </si>
  <si>
    <t>Osservazioni</t>
  </si>
  <si>
    <t>Non presente</t>
  </si>
  <si>
    <t>n.a.</t>
  </si>
  <si>
    <t xml:space="preserve">Prezzo totale base d'asta (IVA esclusa): </t>
  </si>
  <si>
    <t>valore medio da dati  storico consumi decrementato del costo di gestione del numero verde</t>
  </si>
  <si>
    <t>Nel precedente contratto il servizio è stato attivo solamente gli ultimi 3 anni del contratto</t>
  </si>
  <si>
    <t>check</t>
  </si>
  <si>
    <t>Stima Euro TOT nuovo contratto (CHECK)</t>
  </si>
  <si>
    <t>CHECK</t>
  </si>
  <si>
    <t>Non considerato nuovo sviluppo per uffici diversi da Ufficio Statistica</t>
  </si>
  <si>
    <t>Il servizio è stato stimato considerando essenzialmente i rinnovi delle licenze esistenti ed aggiungendo una quota (5%) per ulteriori acquisizioni. Per la stima si è preso come riferimento la stima calcolata all'interno del file "Rinnovi manutenzione in ABS per STS" e stimato un aumento del mark-up al 3% (non allo 0,5%) per i 5 anni. E' stata considerata anche l'effetto dell'inflazione annua sui costi dei prodotti.</t>
  </si>
  <si>
    <t>stessa tariffa precedente contratto.
I volumi sono stati stimati sulla base del numero attuale dei server gestiti ed è stato considerato l'impatto dei progetti dell'Ufficio Statistica</t>
  </si>
  <si>
    <t xml:space="preserve">stessa tariffa precedente contratto.
</t>
  </si>
  <si>
    <t>stessa tariffa precedente contratto.
I volumi sono stati stimati sulla base del numero attuale di terabyte ed è stato considerato l'impatto dei progetti dell'Ufficio Statistica</t>
  </si>
  <si>
    <t>Il servizio è stato erogato su un periodo inferiore ai 5 anni nel presente contratto.</t>
  </si>
  <si>
    <t>Stime effettuate su dati dei cablaggi fornite da Amministraizone.</t>
  </si>
  <si>
    <t>Stesse ipotesi economiche del contratto attuale, ma solamente per gestione e non realizzazione.</t>
  </si>
  <si>
    <t>La diminuzione del valore compensa l'introduzione del nuovo sottoservizio di supporto evoluzione infrastrutturale.</t>
  </si>
  <si>
    <t>Sulla base dell'esperienza specifica maturata si è ritenuto congruo un effort di 350 gg/mix che comporta un aumento rispetto al valore previsto nell'attuale contratto (si osserva che è stata eliminata la remunerazione delle attivtà di subentro).</t>
  </si>
  <si>
    <t>MEV valutata la 4° e 5° anno: ipotesi di impatto del 10% sul cumulativo degli anni precedenti.</t>
  </si>
  <si>
    <t xml:space="preserve"> Le stime sono state effettuate sulla base dei dati di assett  management + ipotesi di evoluzione fornite dall'AMM
(3.800 PDL  da precedente contratto + 200 PDL di evoluzione  - DATI ASSETT)
</t>
  </si>
  <si>
    <t xml:space="preserve">L'incremento è in parte relativo all'aumento della tariffa di gestione della PDL a causa della introduzione nel servizio della gestione della vidoconferenza, dell'estensione del presidio alla sede MIS di Via Ribotta e in considerazione della gestione home site.
</t>
  </si>
  <si>
    <r>
      <t xml:space="preserve">MEV legata a </t>
    </r>
    <r>
      <rPr>
        <b/>
        <sz val="10"/>
        <rFont val="Arial"/>
        <family val="2"/>
      </rPr>
      <t>variazione normative</t>
    </r>
    <r>
      <rPr>
        <sz val="10"/>
        <rFont val="Arial"/>
        <family val="2"/>
      </rPr>
      <t xml:space="preserve"> stimata sulla base dei dati di storico 2008-2011: </t>
    </r>
    <r>
      <rPr>
        <u val="single"/>
        <sz val="10"/>
        <rFont val="Arial"/>
        <family val="2"/>
      </rPr>
      <t>in assenza di dati di dettaglio sulla componente specifica della MEV si è fatto riferimento a contesti assimilabili per valutare la % di impatto legata a varizioni normative rispetto al totale MEV.</t>
    </r>
  </si>
  <si>
    <t>La stima è stata effettuata su dati non dettaglaiti a causa della mancanza di informazioni specifiche</t>
  </si>
  <si>
    <t>Rispetto alla Tariffa attualmente praticata (30 Euro/FP/anno) è stata praticata una riduzione basata sul confronto con contesti assimilabili (tariffa MIUR attualmente vigente di 15 Euro/FP/anno incrementata del 20% per considerare gli sconti sulla base d'asta)</t>
  </si>
  <si>
    <t>dati dedotti da storico 2008-2011 ridotto del 5% ed aggiunto  alla baseline FP indicati da AMM. 
Riduzioe della tariffa attualmente vigente sulla base di confronti con situazioni assimilabili.</t>
  </si>
  <si>
    <t>Euro TOT
(contratto rimodulato)</t>
  </si>
  <si>
    <t>Euro TOT
(offerta gara contratto attuale)</t>
  </si>
  <si>
    <t>% incremento del nuovo contratto su ipotesi gara contratto attuale</t>
  </si>
  <si>
    <t>% incremento del nuovo contratto su costi contratto rimodulato</t>
  </si>
  <si>
    <t>In servizio GO nel precedente contratto è stato erogato per un numero di anni inferiore a 5.</t>
  </si>
  <si>
    <t>Influisce solamente la componente di personalizzazione indotta dai progetti dell'Ufficio Statistica: le restanti componenti non danno contributo nell'ipotesi di assenza di nuovi sviluppi ulteriori.</t>
  </si>
  <si>
    <t>TABELLA A: RIEPILOGO OFFERTA</t>
  </si>
  <si>
    <t>ID</t>
  </si>
  <si>
    <t>Servizio / Prestazione</t>
  </si>
  <si>
    <t>Valore complessivo</t>
  </si>
  <si>
    <t>Massimale</t>
  </si>
  <si>
    <t>Commenti</t>
  </si>
  <si>
    <t>Istruzioni</t>
  </si>
  <si>
    <t>A.1</t>
  </si>
  <si>
    <t>TBD</t>
  </si>
  <si>
    <t>A.1.1</t>
  </si>
  <si>
    <t>Realizzazione prodotti sw - Sviluppo ad hoc</t>
  </si>
  <si>
    <t>A.1.2</t>
  </si>
  <si>
    <t>Realizzazione e verifica prodotti sw - Personalizzazione prodotti di mercato</t>
  </si>
  <si>
    <t>A.2</t>
  </si>
  <si>
    <t>A.2.1</t>
  </si>
  <si>
    <t>A.2.2</t>
  </si>
  <si>
    <t>A.3</t>
  </si>
  <si>
    <t>A.3.1</t>
  </si>
  <si>
    <t>A.3.2</t>
  </si>
  <si>
    <t>A.3.3</t>
  </si>
  <si>
    <t>A.3.4</t>
  </si>
  <si>
    <t>A.4</t>
  </si>
  <si>
    <t>A.4.1</t>
  </si>
  <si>
    <t>A.4.2</t>
  </si>
  <si>
    <t>A.5</t>
  </si>
  <si>
    <t>A.6</t>
  </si>
  <si>
    <t>A.7</t>
  </si>
  <si>
    <t>Hosting e Gestione Operativa (HGO)</t>
  </si>
  <si>
    <t>A.7.1</t>
  </si>
  <si>
    <t>Servizio di Hosting</t>
  </si>
  <si>
    <t>A.7.2</t>
  </si>
  <si>
    <t>A 7.3</t>
  </si>
  <si>
    <t xml:space="preserve"> Implementazione Evoluzioni Infrastrutturali</t>
  </si>
  <si>
    <t>A.8</t>
  </si>
  <si>
    <t>A.8.1</t>
  </si>
  <si>
    <t>Sottoservizio di Program Management</t>
  </si>
  <si>
    <t>A.8.2</t>
  </si>
  <si>
    <t>Sottoservizio gestione Sistema di Reporting</t>
  </si>
  <si>
    <t>A.8.3</t>
  </si>
  <si>
    <t>A.9</t>
  </si>
  <si>
    <t>Subentro</t>
  </si>
  <si>
    <t>A.9.1</t>
  </si>
  <si>
    <t>Progettazione di dettaglio subentro</t>
  </si>
  <si>
    <t>A.9.2</t>
  </si>
  <si>
    <t>Subentro nelle attività</t>
  </si>
  <si>
    <t>A.10</t>
  </si>
  <si>
    <t>A.11</t>
  </si>
  <si>
    <t>A.12</t>
  </si>
  <si>
    <t>VALORE COMPLESSIVO OFFERTA</t>
  </si>
  <si>
    <r>
      <t xml:space="preserve">Somma dei valori </t>
    </r>
    <r>
      <rPr>
        <b/>
        <sz val="9"/>
        <rFont val="Verdana"/>
        <family val="2"/>
      </rPr>
      <t>A.1 + A.2 + A.3 +A.4 + A.5 +A.6 + + A.7 + A.8 + A.9 + A.10 + A.11 + A.12</t>
    </r>
  </si>
  <si>
    <t>VALORE A BASE D'ASTA</t>
  </si>
  <si>
    <t>TABELLA B: VOLUMI DEI SERVIZI</t>
  </si>
  <si>
    <t>Volume complessivo previsto per l'intero periodo contrattuale</t>
  </si>
  <si>
    <t>B.1 Sviluppo SW applicativo e MEV</t>
  </si>
  <si>
    <t>B.1.1</t>
  </si>
  <si>
    <t>B.1.2</t>
  </si>
  <si>
    <t>B.2 Manutenzione del SW (MAC)</t>
  </si>
  <si>
    <t>B.2.1</t>
  </si>
  <si>
    <t>B.2.2</t>
  </si>
  <si>
    <t>B.3 Formazione</t>
  </si>
  <si>
    <t>B.3.1.1</t>
  </si>
  <si>
    <t>B.3.1.2</t>
  </si>
  <si>
    <t>B.3.2</t>
  </si>
  <si>
    <t>B.3.3</t>
  </si>
  <si>
    <t>N. community</t>
  </si>
  <si>
    <t>B.3.4</t>
  </si>
  <si>
    <t>B.4 Supporto Tecnico-Specialistico</t>
  </si>
  <si>
    <t>B.4.1</t>
  </si>
  <si>
    <t>B.4.2</t>
  </si>
  <si>
    <t>B.5 Acquisizione Beni e Servizi</t>
  </si>
  <si>
    <t>B.4.3</t>
  </si>
  <si>
    <t>B.6 Service Desk</t>
  </si>
  <si>
    <t>B.6</t>
  </si>
  <si>
    <t>B.7 Hosting e Gestione Operativa (HGO)</t>
  </si>
  <si>
    <t>B.7.1 Sottoservizio di Hosting</t>
  </si>
  <si>
    <t>B.7.1.1</t>
  </si>
  <si>
    <t>B.7.1.2</t>
  </si>
  <si>
    <t>B.7.1.3</t>
  </si>
  <si>
    <t>B.7.1.4</t>
  </si>
  <si>
    <t>B.7.1.5</t>
  </si>
  <si>
    <t>B.7.1.6</t>
  </si>
  <si>
    <t>B.7.1.7</t>
  </si>
  <si>
    <t>Memoria (Terabyte)</t>
  </si>
  <si>
    <t>B.7.1.8</t>
  </si>
  <si>
    <t>B.7.2 Sottoservizio Gestione Operativa</t>
  </si>
  <si>
    <t>B.7.2</t>
  </si>
  <si>
    <t>B 7.3 Implementazione Evoluzioni Infrastrutturali</t>
  </si>
  <si>
    <t>Consumo - gg/p mix</t>
  </si>
  <si>
    <t>B.7.3</t>
  </si>
  <si>
    <t>B.8 Program Management</t>
  </si>
  <si>
    <t>B.8.1 Sottoservizio di Program Management</t>
  </si>
  <si>
    <t>B.8.1</t>
  </si>
  <si>
    <t>B.8.2 Sottoservizio gestione Sistema di Reporting</t>
  </si>
  <si>
    <t>B.8.2</t>
  </si>
  <si>
    <t>B.9 Subentro</t>
  </si>
  <si>
    <t>B.9.1 Progettazione di dettaglio subentro</t>
  </si>
  <si>
    <t>B.9.1</t>
  </si>
  <si>
    <t>B.9.2 Subentro nelle attività</t>
  </si>
  <si>
    <t>B.9.2</t>
  </si>
  <si>
    <t>B.10 Trasferimento</t>
  </si>
  <si>
    <t>B.10</t>
  </si>
  <si>
    <t>B.11 Posta Elettronica</t>
  </si>
  <si>
    <t>B.12 Gestione Ambiente Distribuito</t>
  </si>
  <si>
    <t>B.11</t>
  </si>
  <si>
    <t>TABELLA C: TARIFFE E IMPORTI DEI SERVIZI</t>
  </si>
  <si>
    <t>Tariffa/Prezzo offerto</t>
  </si>
  <si>
    <t>ARROTONDAMENTI (NASCONDERE)</t>
  </si>
  <si>
    <t>C.1 Sviluppo SW applicativo e MEV</t>
  </si>
  <si>
    <t>C.1.1 Realizzazione prodotti sw - Sviluppo ad hoc</t>
  </si>
  <si>
    <t>C.1.1</t>
  </si>
  <si>
    <t>C.1.2 Realizzazione e verifica prodotti sw - Personalizzazione prodotti di mercato</t>
  </si>
  <si>
    <t>C.1.2</t>
  </si>
  <si>
    <t>C.2 Manutenzione del SW (MAC)</t>
  </si>
  <si>
    <t>C.2.1 Manutenzione prodotti sw (misurabili in FP)</t>
  </si>
  <si>
    <t>C.2.1</t>
  </si>
  <si>
    <t>C.2.1 Manutenzione prodotti sw (personalizzazioni)</t>
  </si>
  <si>
    <t>percentuale del valore economico del prodotto realizzato mediante personalizzazione dei prodotti di mercato</t>
  </si>
  <si>
    <t>C.2.2</t>
  </si>
  <si>
    <t>C.3 Formazione</t>
  </si>
  <si>
    <t>C.3.1.1</t>
  </si>
  <si>
    <t>C.3.1.2</t>
  </si>
  <si>
    <t>C.3.2</t>
  </si>
  <si>
    <t>C.3.3</t>
  </si>
  <si>
    <t>C.3.4</t>
  </si>
  <si>
    <t>C.4 Supporto tecnico-specialistico</t>
  </si>
  <si>
    <t>Forfait mensile (Euro/mese)</t>
  </si>
  <si>
    <t>C.4.1</t>
  </si>
  <si>
    <t>C.4.2</t>
  </si>
  <si>
    <t>C.5 Acquisizione Beni e Servizi</t>
  </si>
  <si>
    <t>Percentuale del valore delle licenze acquisite</t>
  </si>
  <si>
    <t>C.5</t>
  </si>
  <si>
    <t>C.6 Service Desk</t>
  </si>
  <si>
    <t>C.6</t>
  </si>
  <si>
    <t>C.7 Hosting e Gestione Operativa (HGO)</t>
  </si>
  <si>
    <t>C.7.1 Hosting</t>
  </si>
  <si>
    <t>C.7.1.1</t>
  </si>
  <si>
    <t>C.7.1.2</t>
  </si>
  <si>
    <t>C.7.1.3</t>
  </si>
  <si>
    <t>C.7.1.4</t>
  </si>
  <si>
    <t>C.7.1.5</t>
  </si>
  <si>
    <t>C.7.1.6</t>
  </si>
  <si>
    <t>C.7.1.7</t>
  </si>
  <si>
    <t>C.7.1.8</t>
  </si>
  <si>
    <t>C.7.1.9</t>
  </si>
  <si>
    <t>C.7.1.10</t>
  </si>
  <si>
    <t>C.7.1.11</t>
  </si>
  <si>
    <t>C.7.1.12</t>
  </si>
  <si>
    <t>Memoria (Euro/Terabyte/mese)</t>
  </si>
  <si>
    <t>C.7.1.13</t>
  </si>
  <si>
    <t>C.7.2 Gestione Operativa</t>
  </si>
  <si>
    <t>C.7.2</t>
  </si>
  <si>
    <t>C.7.3 Implementazione Evoluzioni Infrastrutturali</t>
  </si>
  <si>
    <t>C.7.3</t>
  </si>
  <si>
    <t>C.8 Program Management</t>
  </si>
  <si>
    <t>C.8.1 Sottoservizio di Program Management</t>
  </si>
  <si>
    <t>C.8.1</t>
  </si>
  <si>
    <t>C.8.2 Sottoservizio gestione Sistema di Reporting</t>
  </si>
  <si>
    <t>C.8.2</t>
  </si>
  <si>
    <t>C.9 Subentro</t>
  </si>
  <si>
    <t>C.9.1 Progettazione di dettaglio subentro</t>
  </si>
  <si>
    <t>Forfait (Euro)</t>
  </si>
  <si>
    <t>C.9.1</t>
  </si>
  <si>
    <t>C.9.2 Subentro nelle attività</t>
  </si>
  <si>
    <t>C.9.2</t>
  </si>
  <si>
    <t>C.10 Trasferimento</t>
  </si>
  <si>
    <t>C.10</t>
  </si>
  <si>
    <t>C.11 Posta Elettronica</t>
  </si>
  <si>
    <t>C.11</t>
  </si>
  <si>
    <t>C.12 Gestione Ambiente Distribuito</t>
  </si>
  <si>
    <t>C.12</t>
  </si>
  <si>
    <t>VALORI PERCENTUALI</t>
  </si>
  <si>
    <t>Percentuale del valore economico del prodotto realizzato mediante personalizzazione dei prodotti di mercato</t>
  </si>
  <si>
    <t>Livello Tariffario</t>
  </si>
  <si>
    <t>SVILUPPO SW APPLICATIVO E MEV</t>
  </si>
  <si>
    <t>MANUTENZIONE DEL SW (MAC)</t>
  </si>
  <si>
    <t>SUPPORTO TECNICO-SPECIALISTICO</t>
  </si>
  <si>
    <t>SERVICE DESK</t>
  </si>
  <si>
    <t>POSTA ELETTRONICA</t>
  </si>
  <si>
    <t>GESTIONE AMBIENTE DISTRIBUITO</t>
  </si>
  <si>
    <t>TRASFERIMENTO</t>
  </si>
  <si>
    <t>ACQUISIZIONE BENI E SERVIZI</t>
  </si>
  <si>
    <t>FORMAZIONE</t>
  </si>
  <si>
    <t>PROGRAM MANAGEMENT</t>
  </si>
  <si>
    <t>GESTIONE OPERATIVA E HOSTING</t>
  </si>
  <si>
    <t>Euro/FP</t>
  </si>
  <si>
    <t>FP</t>
  </si>
  <si>
    <t>B.1 SVILUPPO SW APPLICATIVO E MEV</t>
  </si>
  <si>
    <t>B.2 MANUTENZIONE DEL SW (MAC)</t>
  </si>
  <si>
    <t>B.3 FORMAZIONE</t>
  </si>
  <si>
    <t>B.4 SUPPORTO TECNICO-SPECIALISTICO</t>
  </si>
  <si>
    <t>B.5 ACQUISIZIONE BENI E SERVIZI</t>
  </si>
  <si>
    <t>B.6 SERVICE DESK</t>
  </si>
  <si>
    <t>B.7 POSTA ELETTRONICA</t>
  </si>
  <si>
    <t>B.8 GESTIONE AMBIENTE DISTRIBUITO</t>
  </si>
  <si>
    <t>B.10 PROGRAM MANAGEMENT</t>
  </si>
  <si>
    <t>B.11 TRASFERIMENTO</t>
  </si>
  <si>
    <t>B.9 GESTIONE OPERATIVA E HOSTING</t>
  </si>
  <si>
    <t>C.7 Posta Elettronica</t>
  </si>
  <si>
    <t>C.9 Gestione Operativa  - Hosting</t>
  </si>
  <si>
    <t>C.8 Gestione Ambiente Distribuito</t>
  </si>
  <si>
    <t>C.10 Program Management</t>
  </si>
  <si>
    <t>C.11 Trasferimento</t>
  </si>
  <si>
    <t>C.1.3</t>
  </si>
  <si>
    <t>C.1.4</t>
  </si>
  <si>
    <t>C.1.5</t>
  </si>
  <si>
    <t>C.3.1</t>
  </si>
  <si>
    <t>C.3.5</t>
  </si>
  <si>
    <t>C.4.3</t>
  </si>
  <si>
    <t>C.4.4</t>
  </si>
  <si>
    <t>C.7.1</t>
  </si>
  <si>
    <t>C.10.1</t>
  </si>
  <si>
    <t>C.7.4</t>
  </si>
  <si>
    <t>C.9.3</t>
  </si>
  <si>
    <t>C.10.2</t>
  </si>
  <si>
    <t>A.1.3</t>
  </si>
  <si>
    <t>A.1.4</t>
  </si>
  <si>
    <t>A.1.5</t>
  </si>
  <si>
    <t>A.1.6</t>
  </si>
  <si>
    <t>A.9.3</t>
  </si>
  <si>
    <t>A.10.1</t>
  </si>
  <si>
    <t>A.10.2</t>
  </si>
  <si>
    <t>A.4.3</t>
  </si>
  <si>
    <t>A.4.4</t>
  </si>
  <si>
    <t>B.1.3</t>
  </si>
  <si>
    <t>B.1.4</t>
  </si>
  <si>
    <t>B.1.5</t>
  </si>
  <si>
    <t>B.1.6</t>
  </si>
  <si>
    <t>B.3.1</t>
  </si>
  <si>
    <t>B.3.5</t>
  </si>
  <si>
    <t>B.4.4</t>
  </si>
  <si>
    <t>B.5</t>
  </si>
  <si>
    <t>B.7.1</t>
  </si>
  <si>
    <t>B.7.4</t>
  </si>
  <si>
    <t>B.9.3</t>
  </si>
  <si>
    <t>B.10.1</t>
  </si>
  <si>
    <t>B.10.2</t>
  </si>
  <si>
    <r>
      <t xml:space="preserve">Somma dei valori </t>
    </r>
    <r>
      <rPr>
        <b/>
        <sz val="9"/>
        <rFont val="Verdana"/>
        <family val="2"/>
      </rPr>
      <t>A.1 + A.2 + A.3 +A.4 + A.5 +A.6 + + A.7 + A.8 + A.9 + A.10 + A.11</t>
    </r>
  </si>
  <si>
    <t>TABELLA D: TARIFFE FIGURE PROFESSIONALI</t>
  </si>
  <si>
    <t xml:space="preserve">QUADRO SINOTTICO CONTRATTO ATTUALE vs NUOVA GARA </t>
  </si>
  <si>
    <t>Servizi</t>
  </si>
  <si>
    <t>Totali contratto SIS-N</t>
  </si>
  <si>
    <t xml:space="preserve">Compensazioni      </t>
  </si>
  <si>
    <t>Totali SIS-N +/- Compensazioni</t>
  </si>
  <si>
    <t>Totali Estensioni</t>
  </si>
  <si>
    <t xml:space="preserve">Totali SIS-N +/- Compensazioni + Estensioni </t>
  </si>
  <si>
    <t>Stima Nuovo contratto</t>
  </si>
  <si>
    <t>Note</t>
  </si>
  <si>
    <t>SSW_MEV</t>
  </si>
  <si>
    <t>L'importo tiene conto solo delle MEV strettamente necessarie (variazioni normative) - Riduzione delle tariffe MIX (Riduzione delle tariffe delle figure base a seguito di congruità CONSIP e modifica del MIX percentuale).
- Riduzione tariffa FP (su base congruità CONSIP)</t>
  </si>
  <si>
    <t>STS - Supporto Tecnico/Informatico</t>
  </si>
  <si>
    <t>Riduzione tariffe mix</t>
  </si>
  <si>
    <t>STS - Supporto Controllo dati</t>
  </si>
  <si>
    <t>STS - Supporto evoluzione infrastruttura</t>
  </si>
  <si>
    <t>STS - Gestione Siti</t>
  </si>
  <si>
    <t>Riduzione del 10% sull'effort.</t>
  </si>
  <si>
    <t>ABS</t>
  </si>
  <si>
    <t>Valore riferito al solo rinnovo licenze attuali.</t>
  </si>
  <si>
    <t>Eliminazione del servizi di presidio presso il Ministero (pari a 1650 gg intero contratto)</t>
  </si>
  <si>
    <t>Adeguamento ai consumi effettivi.</t>
  </si>
  <si>
    <t>Variazione tariffa mix.</t>
  </si>
  <si>
    <t>Manutenzione Correttiva</t>
  </si>
  <si>
    <t>Ipotesi di riduzione a 8,52 Euro/FP, rispetto a 18 Euro/FP (in base a congruità per Consip)</t>
  </si>
  <si>
    <t>Unificati i servizi di GO con Hosting. Riduzione del 30% di tutte le tariffe legate ai server e allo storage.</t>
  </si>
  <si>
    <t>Implementazione Evoluzioni Infrastrutturali: riduzione del 25%  (considerate prevalentemente attività di gestione obsolescenza).</t>
  </si>
  <si>
    <t>Incremento dovuto ai servizi di videoconferenza, al presidio tecnico sede Ribotta e agli interventi on site. Inserita ipotesi di incremento del 5% annuo delle postazioni di lavoro.</t>
  </si>
  <si>
    <t>Eliminato.</t>
  </si>
  <si>
    <t>Sulla base dell'esperienza specifica maturata si è ritenuto congruo un effort di 350 gg/mix che comporta un aumento rispetto al valore previsto nell'attuale contratto (è stata eliminata la remunerazione delle attivtà di subentro).</t>
  </si>
  <si>
    <t>Incremento dovuto alla maggiore dimensione della casella e alle licenze del prodotto SW individuato che saranno a carico del fornitore contrariamente all'attuale contratto.</t>
  </si>
  <si>
    <t>Totale €</t>
  </si>
  <si>
    <r>
      <t xml:space="preserve">N.B: Nell'importo del nuovo contratto </t>
    </r>
    <r>
      <rPr>
        <b/>
        <u val="single"/>
        <sz val="11"/>
        <rFont val="Arial"/>
        <family val="2"/>
      </rPr>
      <t>NON</t>
    </r>
    <r>
      <rPr>
        <b/>
        <sz val="11"/>
        <rFont val="Arial"/>
        <family val="2"/>
      </rPr>
      <t xml:space="preserve"> sono inseriti i servizi per i Nuovi sviluppi SW e loro impatto sugli altri servizi.</t>
    </r>
  </si>
  <si>
    <t>Prima ipotesi con IVA al 21%:</t>
  </si>
  <si>
    <t>Iva esclusa</t>
  </si>
  <si>
    <t>Iva al 21% inclusa</t>
  </si>
  <si>
    <t xml:space="preserve">Con una base d'asta di € 60.000.000,00 iva inclusa al 21%, si ottiene un importo netto disponibile pari a: </t>
  </si>
  <si>
    <t>Stima del Nuovo Contratto:</t>
  </si>
  <si>
    <t>Importo residuo disponibile per i nuovi sviluppi SW (e servizi correlati):</t>
  </si>
  <si>
    <t>Seconda ipotesi con IVA al 23%:</t>
  </si>
  <si>
    <t>Iva al 23% inclusa</t>
  </si>
  <si>
    <t xml:space="preserve">Con una base d'asta di € 60.000.000,00 iva inclusa al 23%, si ottiene un importo netto disponibile pari a: </t>
  </si>
  <si>
    <t>Euro/g</t>
  </si>
  <si>
    <t xml:space="preserve">Euro/g </t>
  </si>
  <si>
    <t>Videoconferenza</t>
  </si>
  <si>
    <t>A.2.3</t>
  </si>
  <si>
    <t>B.2.3</t>
  </si>
  <si>
    <t>B.8.3</t>
  </si>
  <si>
    <t>C.2.3</t>
  </si>
  <si>
    <t>C.8.3</t>
  </si>
  <si>
    <r>
      <t xml:space="preserve">Somma dei valori </t>
    </r>
    <r>
      <rPr>
        <b/>
        <sz val="9"/>
        <rFont val="Verdana"/>
        <family val="2"/>
      </rPr>
      <t>A.1.1 + A.1.2 + A.1.3 + A.1.4 +A.1.5 + A.1.6</t>
    </r>
  </si>
  <si>
    <r>
      <t xml:space="preserve">Prodotto del volume della componenente di fornitura del servizio indicata nella tabella B, per la corrispondente tariffa indicata nella tabella C. </t>
    </r>
    <r>
      <rPr>
        <b/>
        <sz val="9"/>
        <rFont val="Verdana"/>
        <family val="2"/>
      </rPr>
      <t>(B.1.1 * C.1.1)</t>
    </r>
  </si>
  <si>
    <r>
      <t xml:space="preserve">Somma dei valori </t>
    </r>
    <r>
      <rPr>
        <b/>
        <sz val="9"/>
        <rFont val="Verdana"/>
        <family val="2"/>
      </rPr>
      <t>A.2.1 + A.2.2 + A.2.3</t>
    </r>
  </si>
  <si>
    <r>
      <t xml:space="preserve">Prodotto del volume della componenente di fornitura del servizio indicata nella tabella B, per la corrispondente tariffa indicata nella tabella C. </t>
    </r>
    <r>
      <rPr>
        <b/>
        <sz val="8.1"/>
        <rFont val="Verdana"/>
        <family val="2"/>
      </rPr>
      <t>(B.1.3 * C.1.2)</t>
    </r>
  </si>
  <si>
    <r>
      <t>Prodotto del volume della componenente di fornitura del servizio indicata nella tabella B, per la corrispondente tariffa indicata nella tabella C.</t>
    </r>
    <r>
      <rPr>
        <b/>
        <sz val="9"/>
        <rFont val="Verdana"/>
        <family val="2"/>
      </rPr>
      <t xml:space="preserve"> </t>
    </r>
    <r>
      <rPr>
        <b/>
        <sz val="8.1"/>
        <rFont val="Verdana"/>
        <family val="2"/>
      </rPr>
      <t>(B.1.4 * C.1.3)</t>
    </r>
  </si>
  <si>
    <r>
      <t xml:space="preserve">Prodotto del volume della componenente di fornitura del servizio indicata nella tabella B, per la corrispondente tariffa indicata nella tabella C. </t>
    </r>
    <r>
      <rPr>
        <b/>
        <sz val="8.1"/>
        <rFont val="Verdana"/>
        <family val="2"/>
      </rPr>
      <t>(B.1.5 * C.1.4)</t>
    </r>
  </si>
  <si>
    <r>
      <t>Prodotto del volume della componenente di fornitura del servizio indicata nella tabella B, per la corrispondente tariffa indicata nella tabella C.</t>
    </r>
    <r>
      <rPr>
        <b/>
        <sz val="9"/>
        <rFont val="Verdana"/>
        <family val="2"/>
      </rPr>
      <t xml:space="preserve"> </t>
    </r>
    <r>
      <rPr>
        <b/>
        <sz val="8.1"/>
        <rFont val="Verdana"/>
        <family val="2"/>
      </rPr>
      <t>(B.1.6 * C.1.5)</t>
    </r>
  </si>
  <si>
    <t>Manutenzione Correttiva (misurabili in FP)</t>
  </si>
  <si>
    <t>Manutenzione pianificabile - adeguativa/migliorativa</t>
  </si>
  <si>
    <t>Manutenzione Correttiva  (FP)</t>
  </si>
  <si>
    <t>Manutenzione pianificabile - Adeguativa/Migliorativa</t>
  </si>
  <si>
    <t>Manutenzione Pianificabile - Adeguativa/Migliorativa</t>
  </si>
  <si>
    <r>
      <t>Prodotto del volume della componenente di fornitura del servizio indicata nella tabella B, per la corrispondente tariffa indicata nella tabella C.</t>
    </r>
    <r>
      <rPr>
        <b/>
        <sz val="9"/>
        <rFont val="Verdana"/>
        <family val="2"/>
      </rPr>
      <t xml:space="preserve"> </t>
    </r>
    <r>
      <rPr>
        <b/>
        <sz val="8.1"/>
        <rFont val="Verdana"/>
        <family val="2"/>
      </rPr>
      <t>(B.2.3 * C.2.3)</t>
    </r>
  </si>
  <si>
    <r>
      <t xml:space="preserve">Somma dei prodotto dei volumi delle componenenti di fornitura del servizio indicate nella tabella B, per le corrispondenti tariffe indicate nella tabella C. </t>
    </r>
    <r>
      <rPr>
        <b/>
        <sz val="9"/>
        <rFont val="Verdana"/>
        <family val="2"/>
      </rPr>
      <t>(B.3.1 * C.3.1 + B.3.2 * C.3.2 + B.3.3 * C.3.3 + B.3.4 * C.3.4 + B.3.5 * C.3.5)</t>
    </r>
  </si>
  <si>
    <r>
      <t xml:space="preserve">Somma dei valori </t>
    </r>
    <r>
      <rPr>
        <b/>
        <sz val="9"/>
        <rFont val="Verdana"/>
        <family val="2"/>
      </rPr>
      <t>A.4.1 + A.4.2 + A.4.3 + A.4.4</t>
    </r>
  </si>
  <si>
    <r>
      <t xml:space="preserve">Valore dei forfait mensile formulato per il servizio in Tabella C per il numero di mesi contrattuali. </t>
    </r>
    <r>
      <rPr>
        <b/>
        <sz val="9"/>
        <rFont val="Verdana"/>
        <family val="2"/>
      </rPr>
      <t>(C.4.1 * 60)</t>
    </r>
  </si>
  <si>
    <r>
      <t>Prodotto del volume della componenente di fornitura del servizio indicata nella tabella B, per la corrispondente tariffa indicata nella tabella C.</t>
    </r>
    <r>
      <rPr>
        <b/>
        <sz val="9"/>
        <rFont val="Verdana"/>
        <family val="2"/>
      </rPr>
      <t xml:space="preserve"> </t>
    </r>
    <r>
      <rPr>
        <b/>
        <sz val="8.1"/>
        <rFont val="Verdana"/>
        <family val="2"/>
      </rPr>
      <t>(B.4.2 * C.4.2)</t>
    </r>
  </si>
  <si>
    <r>
      <t xml:space="preserve">Valore dei forfait mensile formulato per il servizio in Tabella C per il numero di mesi contrattuali. </t>
    </r>
    <r>
      <rPr>
        <b/>
        <sz val="9"/>
        <rFont val="Verdana"/>
        <family val="2"/>
      </rPr>
      <t>(C.4.3 * 60)</t>
    </r>
  </si>
  <si>
    <r>
      <t>Prodotto del volume della componenente di fornitura del servizio indicata nella tabella B, per la corrispondente tariffa indicata nella tabella C.</t>
    </r>
    <r>
      <rPr>
        <b/>
        <sz val="9"/>
        <rFont val="Verdana"/>
        <family val="2"/>
      </rPr>
      <t xml:space="preserve"> </t>
    </r>
    <r>
      <rPr>
        <b/>
        <sz val="8.1"/>
        <rFont val="Verdana"/>
        <family val="2"/>
      </rPr>
      <t>(B.4.4 * C.4.4)</t>
    </r>
  </si>
  <si>
    <r>
      <t>Prodotto del volume della componenente di fornitura del servizio indicata nella tabella B, per la corrispondente tariffa indicata nella tabella C.</t>
    </r>
    <r>
      <rPr>
        <b/>
        <sz val="9"/>
        <rFont val="Verdana"/>
        <family val="2"/>
      </rPr>
      <t xml:space="preserve"> </t>
    </r>
    <r>
      <rPr>
        <b/>
        <sz val="8.1"/>
        <rFont val="Verdana"/>
        <family val="2"/>
      </rPr>
      <t>(B.6 * C.6)</t>
    </r>
  </si>
  <si>
    <r>
      <t xml:space="preserve">Somma dei prodotto dei volumi delle componenenti di fornitura del servizio indicate nella tabella B, per le corrispondenti tariffe indicate nella tabella C. </t>
    </r>
    <r>
      <rPr>
        <b/>
        <sz val="9"/>
        <rFont val="Verdana"/>
        <family val="2"/>
      </rPr>
      <t>(B.7.1 * C.7.1 + B.7.2 * C.7.2 + B.7.3 * C.7.3 + B.7.4 * C.7.4)</t>
    </r>
  </si>
  <si>
    <r>
      <t xml:space="preserve">Somma dei valori </t>
    </r>
    <r>
      <rPr>
        <b/>
        <sz val="9"/>
        <rFont val="Verdana"/>
        <family val="2"/>
      </rPr>
      <t>A.8.1 + A.8.2 + A.8.3</t>
    </r>
  </si>
  <si>
    <r>
      <t xml:space="preserve">Somma dei valori </t>
    </r>
    <r>
      <rPr>
        <b/>
        <sz val="9"/>
        <rFont val="Verdana"/>
        <family val="2"/>
      </rPr>
      <t>A.10.1 + A.10.2</t>
    </r>
  </si>
  <si>
    <r>
      <t>Prodotto del volume della componenente di fornitura del servizio indicata nella tabella B, per la corrispondente tariffa indicata nella tabella C.</t>
    </r>
    <r>
      <rPr>
        <b/>
        <sz val="9"/>
        <rFont val="Verdana"/>
        <family val="2"/>
      </rPr>
      <t xml:space="preserve"> </t>
    </r>
    <r>
      <rPr>
        <b/>
        <sz val="8.1"/>
        <rFont val="Verdana"/>
        <family val="2"/>
      </rPr>
      <t>(B.8.2 * C.8.2)</t>
    </r>
  </si>
  <si>
    <r>
      <t>Valore dei forfait mensile formulato per il servizio in Tabella C per il numero di mesi contrattuali.</t>
    </r>
    <r>
      <rPr>
        <b/>
        <sz val="9"/>
        <rFont val="Verdana"/>
        <family val="2"/>
      </rPr>
      <t xml:space="preserve"> </t>
    </r>
    <r>
      <rPr>
        <b/>
        <sz val="8.1"/>
        <rFont val="Verdana"/>
        <family val="2"/>
      </rPr>
      <t>(C.9.1 * 60)</t>
    </r>
  </si>
  <si>
    <r>
      <t>Prodotto del volume della componenente di fornitura del servizio indicata nella tabella B, per la corrispondente tariffa indicata nella tabella C.</t>
    </r>
    <r>
      <rPr>
        <b/>
        <sz val="9"/>
        <rFont val="Verdana"/>
        <family val="2"/>
      </rPr>
      <t xml:space="preserve"> </t>
    </r>
    <r>
      <rPr>
        <b/>
        <sz val="8.1"/>
        <rFont val="Verdana"/>
        <family val="2"/>
      </rPr>
      <t>(B.11 * C.11)</t>
    </r>
  </si>
  <si>
    <t>Percentuale per oneri di acquisizione</t>
  </si>
  <si>
    <t>(*)</t>
  </si>
  <si>
    <t>Hosting Forfait</t>
  </si>
  <si>
    <t>Hosting - Memoria opzionale</t>
  </si>
  <si>
    <t>Hosting Formait</t>
  </si>
  <si>
    <t>Hosting (Memoria opzionale)</t>
  </si>
  <si>
    <t>B.9.4</t>
  </si>
  <si>
    <t>B.9.5</t>
  </si>
  <si>
    <t>Hosting - Forfait</t>
  </si>
  <si>
    <t>Hosting: Memoria opzionale</t>
  </si>
  <si>
    <t>C.9.4</t>
  </si>
  <si>
    <t>C.9.5</t>
  </si>
  <si>
    <t>Evoluzioni architettura tecnico applicativa</t>
  </si>
  <si>
    <r>
      <t>Prodotto del volume della componenente di fornitura del servizio indicata nella tabella B, per la corrispondente tariffa indicata nella tabella C.</t>
    </r>
    <r>
      <rPr>
        <b/>
        <sz val="9"/>
        <rFont val="Verdana"/>
        <family val="2"/>
      </rPr>
      <t xml:space="preserve"> </t>
    </r>
    <r>
      <rPr>
        <b/>
        <sz val="8.1"/>
        <rFont val="Verdana"/>
        <family val="2"/>
      </rPr>
      <t>(B.9.5 * C.9.5)</t>
    </r>
  </si>
  <si>
    <r>
      <t>Prodotto del volume della componenente di fornitura del servizio indicata nella tabella B, per la corrispondente tariffa indicata nella tabella C.</t>
    </r>
    <r>
      <rPr>
        <b/>
        <sz val="9"/>
        <rFont val="Verdana"/>
        <family val="2"/>
      </rPr>
      <t xml:space="preserve"> </t>
    </r>
    <r>
      <rPr>
        <b/>
        <sz val="8.1"/>
        <rFont val="Verdana"/>
        <family val="2"/>
      </rPr>
      <t>(B.10.1 * C.10.1)</t>
    </r>
  </si>
  <si>
    <r>
      <t>Prodotto del volume della componenente di fornitura del servizio indicata nella tabella B, per la corrispondente tariffa indicata nella tabella C.</t>
    </r>
    <r>
      <rPr>
        <b/>
        <sz val="9"/>
        <rFont val="Verdana"/>
        <family val="2"/>
      </rPr>
      <t xml:space="preserve"> </t>
    </r>
    <r>
      <rPr>
        <b/>
        <sz val="8.1"/>
        <rFont val="Verdana"/>
        <family val="2"/>
      </rPr>
      <t>(B.10.2 * C.10.2)</t>
    </r>
  </si>
  <si>
    <r>
      <t>Prodotto del volume della componenente di fornitura del servizio indicata nella tabella B, per la corrispondente tariffa indicata nella tabella C.</t>
    </r>
    <r>
      <rPr>
        <b/>
        <sz val="9"/>
        <rFont val="Verdana"/>
        <family val="2"/>
      </rPr>
      <t xml:space="preserve"> </t>
    </r>
    <r>
      <rPr>
        <b/>
        <sz val="8.1"/>
        <rFont val="Verdana"/>
        <family val="2"/>
      </rPr>
      <t>(B.8.3 * C.8.3)</t>
    </r>
  </si>
  <si>
    <t>Hosting  (risorse opzionali)</t>
  </si>
  <si>
    <t>Hosting: risorse opzionali</t>
  </si>
  <si>
    <t>Hosting - Risorse opzionali</t>
  </si>
  <si>
    <t>A.9.4</t>
  </si>
  <si>
    <t>A.9.5</t>
  </si>
  <si>
    <r>
      <t>Valore annuale formulato per il servizio in Tabella C per 4 anni di durata contrattuale.</t>
    </r>
    <r>
      <rPr>
        <b/>
        <sz val="9"/>
        <rFont val="Verdana"/>
        <family val="2"/>
      </rPr>
      <t xml:space="preserve"> </t>
    </r>
    <r>
      <rPr>
        <b/>
        <sz val="8.1"/>
        <rFont val="Verdana"/>
        <family val="2"/>
      </rPr>
      <t>(C.9.3 * 4)</t>
    </r>
  </si>
  <si>
    <t>ESITO OFFERTA</t>
  </si>
  <si>
    <r>
      <t xml:space="preserve">Somma dei valori </t>
    </r>
    <r>
      <rPr>
        <b/>
        <sz val="9"/>
        <rFont val="Verdana"/>
        <family val="2"/>
      </rPr>
      <t>A.9.1 + A.9.2 + A.9.3 + A.9.4 + A.9.5</t>
    </r>
  </si>
  <si>
    <r>
      <t>Valore dei forfait annuale formulato per il servizio in Tabella C per il numero di anni contrattuali.</t>
    </r>
    <r>
      <rPr>
        <b/>
        <sz val="9"/>
        <rFont val="Verdana"/>
        <family val="2"/>
      </rPr>
      <t xml:space="preserve"> </t>
    </r>
    <r>
      <rPr>
        <b/>
        <sz val="8.1"/>
        <rFont val="Verdana"/>
        <family val="2"/>
      </rPr>
      <t>(C.9.2 * 5)</t>
    </r>
  </si>
  <si>
    <r>
      <t>Prodotto del volume complessivo della componenente di fornitura del servizio per i 4 anni previsti, indicata nella tabella B, per il corrispondente valore annuale, calcolato moltiplicando la tariffa mensile indicata nella tabella C per 12 mesi</t>
    </r>
    <r>
      <rPr>
        <b/>
        <sz val="9"/>
        <rFont val="Verdana"/>
        <family val="2"/>
      </rPr>
      <t xml:space="preserve"> </t>
    </r>
    <r>
      <rPr>
        <b/>
        <sz val="8.1"/>
        <rFont val="Verdana"/>
        <family val="2"/>
      </rPr>
      <t>(B.9.4 * C.9.4*12)</t>
    </r>
  </si>
  <si>
    <t>(*) il valore rappresenta la somma delle baseline per il periodo di fornitura</t>
  </si>
  <si>
    <r>
      <t xml:space="preserve">Prodotto del volume complessivo calcolato sull'intero periodo contrattuale della componenente di fornitura del servizio indicata nella tabella B, per il valore annuale della fornitura, calcolato moltiplicando la corrispondente tariffa mensile indicata nella tabella C per 12 mesi </t>
    </r>
    <r>
      <rPr>
        <b/>
        <sz val="8.1"/>
        <rFont val="Verdana"/>
        <family val="2"/>
      </rPr>
      <t>(B.8.1 * C.8.1*12)</t>
    </r>
  </si>
  <si>
    <r>
      <t xml:space="preserve">Prodotto del volume della componenente di fornitura del servizio indicata nella tabella B, per la corrispondente tariffa (stessa tariffa dello sviluppo softwre) indicata nella tabella C. </t>
    </r>
    <r>
      <rPr>
        <b/>
        <sz val="9"/>
        <rFont val="Verdana"/>
        <family val="2"/>
      </rPr>
      <t>(B.1.2 * C.1.1)</t>
    </r>
  </si>
  <si>
    <r>
      <t xml:space="preserve">Prodotto del valore complessivo di baseline in esercizio dei FP previsti per l'intero periodo contrattutale in Tabella B per la relativa Tariffa formulata in Tabella C </t>
    </r>
    <r>
      <rPr>
        <b/>
        <sz val="9"/>
        <rFont val="Verdana"/>
        <family val="2"/>
      </rPr>
      <t>(B.2.1 * C.2.1)</t>
    </r>
  </si>
  <si>
    <t>Manutenzione prodotti sw
(somma per l'intero periodo contrattuale dei valori delle baseline del software realizzato come personalizzazione)</t>
  </si>
  <si>
    <r>
      <rPr>
        <sz val="9"/>
        <rFont val="Verdana"/>
        <family val="2"/>
      </rPr>
      <t>Prodotto della somma per l'intero periodo contrattuale dei valori delle baseline del software realizzato come personalizzazione per la percentuale di remunerazione indicata nella tabella C.</t>
    </r>
    <r>
      <rPr>
        <b/>
        <sz val="9"/>
        <rFont val="Verdana"/>
        <family val="2"/>
      </rPr>
      <t xml:space="preserve"> (B.2.2 * C.2.2)</t>
    </r>
  </si>
  <si>
    <r>
      <t>Prodotto del valore del montante complessivo dei valori di acquisizione indicato nella tabella B per la percentuale per oneri di acquisizione indicata nella tabella C.</t>
    </r>
    <r>
      <rPr>
        <b/>
        <sz val="9"/>
        <rFont val="Verdana"/>
        <family val="2"/>
      </rPr>
      <t xml:space="preserve"> </t>
    </r>
    <r>
      <rPr>
        <b/>
        <sz val="8.1"/>
        <rFont val="Verdana"/>
        <family val="2"/>
      </rPr>
      <t>(B.5 * (1+C.5 / 100))</t>
    </r>
  </si>
  <si>
    <t>Gestione e Sviluppo del Sistema Informativo Sanitario Nazionale</t>
  </si>
  <si>
    <t xml:space="preserve">Direzione Generale del Sistema Informativo                       e Statistico Sanitario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</si>
</sst>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 #,##0.00_-;\-[$€]\ * #,##0.00_-;_-[$€]\ * &quot;-&quot;??_-;_-@_-"/>
    <numFmt numFmtId="165" formatCode="#,##0.00_ ;\-#,##0.00\ "/>
    <numFmt numFmtId="166" formatCode="_-* #,##0.00_-;\-* #,##0.00_-;_-* &quot;-&quot;_-;_-@_-"/>
    <numFmt numFmtId="167" formatCode="&quot;€&quot;\ #,##0.00"/>
    <numFmt numFmtId="168" formatCode="_-&quot;€&quot;\ * #,##0.000_-;\-&quot;€&quot;\ * #,##0.000_-;_-&quot;€&quot;\ * &quot;-&quot;??_-;_-@_-"/>
    <numFmt numFmtId="169" formatCode="_-&quot;€&quot;\ * #,##0_-;\-&quot;€&quot;\ * #,##0_-;_-&quot;€&quot;\ * &quot;-&quot;??_-;_-@_-"/>
    <numFmt numFmtId="170" formatCode="_-[$€-410]\ * #,##0.00_-;\-[$€-410]\ * #,##0.00_-;_-[$€-410]\ * &quot;-&quot;??_-;_-@_-"/>
    <numFmt numFmtId="171" formatCode="_-[$€-410]\ * #,##0_-;\-[$€-410]\ * #,##0_-;_-[$€-410]\ * &quot;-&quot;??_-;_-@_-"/>
    <numFmt numFmtId="172" formatCode="############"/>
  </numFmts>
  <fonts count="81">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9"/>
      <name val="Verdana"/>
      <family val="2"/>
    </font>
    <font>
      <b/>
      <sz val="9"/>
      <name val="Arial"/>
      <family val="2"/>
    </font>
    <font>
      <sz val="9"/>
      <name val="Verdana"/>
      <family val="2"/>
    </font>
    <font>
      <sz val="9"/>
      <name val="Arial"/>
      <family val="2"/>
    </font>
    <font>
      <sz val="10"/>
      <color indexed="18"/>
      <name val="Arial"/>
      <family val="2"/>
    </font>
    <font>
      <b/>
      <sz val="12"/>
      <color indexed="18"/>
      <name val="Arial"/>
      <family val="2"/>
    </font>
    <font>
      <sz val="8"/>
      <name val="Arial"/>
      <family val="2"/>
    </font>
    <font>
      <b/>
      <sz val="10"/>
      <name val="Verdana"/>
      <family val="2"/>
    </font>
    <font>
      <sz val="10"/>
      <name val="Verdana"/>
      <family val="2"/>
    </font>
    <font>
      <b/>
      <sz val="8"/>
      <name val="Verdana"/>
      <family val="2"/>
    </font>
    <font>
      <sz val="8"/>
      <name val="Verdana"/>
      <family val="2"/>
    </font>
    <font>
      <b/>
      <i/>
      <sz val="10"/>
      <name val="Verdana"/>
      <family val="2"/>
    </font>
    <font>
      <i/>
      <sz val="10"/>
      <name val="Verdana"/>
      <family val="2"/>
    </font>
    <font>
      <b/>
      <sz val="9"/>
      <name val="Tahoma"/>
      <family val="2"/>
    </font>
    <font>
      <b/>
      <i/>
      <sz val="9"/>
      <name val="Arial"/>
      <family val="2"/>
    </font>
    <font>
      <i/>
      <sz val="10"/>
      <name val="Arial"/>
      <family val="2"/>
    </font>
    <font>
      <sz val="18"/>
      <name val="Arial"/>
      <family val="2"/>
    </font>
    <font>
      <b/>
      <sz val="14"/>
      <name val="Arial"/>
      <family val="2"/>
    </font>
    <font>
      <b/>
      <sz val="14"/>
      <name val="Verdana"/>
      <family val="2"/>
    </font>
    <font>
      <b/>
      <sz val="20"/>
      <name val="Verdana"/>
      <family val="2"/>
    </font>
    <font>
      <sz val="11"/>
      <color indexed="18"/>
      <name val="Verdana"/>
      <family val="2"/>
    </font>
    <font>
      <b/>
      <sz val="20"/>
      <name val="Arial"/>
      <family val="2"/>
    </font>
    <font>
      <b/>
      <sz val="10"/>
      <name val="Arial"/>
      <family val="2"/>
    </font>
    <font>
      <sz val="9"/>
      <name val="Tahoma"/>
      <family val="2"/>
    </font>
    <font>
      <sz val="10"/>
      <color indexed="8"/>
      <name val="Arial"/>
      <family val="2"/>
    </font>
    <font>
      <u val="single"/>
      <sz val="10"/>
      <color indexed="12"/>
      <name val="Arial"/>
      <family val="2"/>
    </font>
    <font>
      <b/>
      <sz val="16"/>
      <color indexed="9"/>
      <name val="Arial"/>
      <family val="2"/>
    </font>
    <font>
      <b/>
      <i/>
      <sz val="10"/>
      <name val="Arial"/>
      <family val="2"/>
    </font>
    <font>
      <b/>
      <sz val="10"/>
      <color indexed="9"/>
      <name val="Arial"/>
      <family val="2"/>
    </font>
    <font>
      <b/>
      <sz val="10"/>
      <color indexed="8"/>
      <name val="Arial"/>
      <family val="2"/>
    </font>
    <font>
      <b/>
      <sz val="10"/>
      <color indexed="23"/>
      <name val="Arial"/>
      <family val="2"/>
    </font>
    <font>
      <i/>
      <sz val="11"/>
      <color indexed="8"/>
      <name val="Calibri"/>
      <family val="2"/>
    </font>
    <font>
      <b/>
      <sz val="48"/>
      <color indexed="56"/>
      <name val="Kunstler Script"/>
      <family val="4"/>
    </font>
    <font>
      <sz val="48"/>
      <color indexed="56"/>
      <name val="Arial"/>
      <family val="2"/>
    </font>
    <font>
      <sz val="16"/>
      <color indexed="56"/>
      <name val="Verdana"/>
      <family val="2"/>
    </font>
    <font>
      <b/>
      <sz val="20"/>
      <color indexed="63"/>
      <name val="Verdana"/>
      <family val="2"/>
    </font>
    <font>
      <sz val="10"/>
      <color indexed="63"/>
      <name val="Arial"/>
      <family val="2"/>
    </font>
    <font>
      <b/>
      <i/>
      <sz val="10"/>
      <color indexed="63"/>
      <name val="Verdana"/>
      <family val="2"/>
    </font>
    <font>
      <i/>
      <sz val="10"/>
      <color indexed="63"/>
      <name val="Arial"/>
      <family val="2"/>
    </font>
    <font>
      <b/>
      <sz val="9"/>
      <color indexed="23"/>
      <name val="Verdana"/>
      <family val="2"/>
    </font>
    <font>
      <b/>
      <sz val="12"/>
      <color indexed="56"/>
      <name val="Verdana"/>
      <family val="2"/>
    </font>
    <font>
      <b/>
      <sz val="9"/>
      <color indexed="63"/>
      <name val="Arial"/>
      <family val="2"/>
    </font>
    <font>
      <b/>
      <i/>
      <sz val="12"/>
      <color indexed="56"/>
      <name val="Arial"/>
      <family val="2"/>
    </font>
    <font>
      <b/>
      <sz val="9"/>
      <color indexed="57"/>
      <name val="Arial"/>
      <family val="2"/>
    </font>
    <font>
      <b/>
      <sz val="9"/>
      <color indexed="60"/>
      <name val="Arial"/>
      <family val="2"/>
    </font>
    <font>
      <u val="single"/>
      <sz val="10"/>
      <name val="Arial"/>
      <family val="2"/>
    </font>
    <font>
      <b/>
      <sz val="9"/>
      <color indexed="23"/>
      <name val="Arial"/>
      <family val="2"/>
    </font>
    <font>
      <sz val="10"/>
      <color indexed="23"/>
      <name val="Arial"/>
      <family val="2"/>
    </font>
    <font>
      <sz val="10"/>
      <color indexed="57"/>
      <name val="Arial"/>
      <family val="2"/>
    </font>
    <font>
      <b/>
      <sz val="9"/>
      <color indexed="53"/>
      <name val="Arial"/>
      <family val="2"/>
    </font>
    <font>
      <sz val="10"/>
      <color indexed="53"/>
      <name val="Arial"/>
      <family val="2"/>
    </font>
    <font>
      <b/>
      <sz val="8"/>
      <name val="Arial"/>
      <family val="2"/>
    </font>
    <font>
      <b/>
      <sz val="9"/>
      <color indexed="10"/>
      <name val="Verdana"/>
      <family val="2"/>
    </font>
    <font>
      <b/>
      <sz val="10"/>
      <color indexed="10"/>
      <name val="Verdana"/>
      <family val="2"/>
    </font>
    <font>
      <sz val="8"/>
      <name val="Tahoma"/>
      <family val="2"/>
    </font>
    <font>
      <b/>
      <i/>
      <sz val="10"/>
      <color indexed="9"/>
      <name val="Arial"/>
      <family val="2"/>
    </font>
    <font>
      <b/>
      <sz val="11"/>
      <name val="Arial"/>
      <family val="2"/>
    </font>
    <font>
      <b/>
      <u val="single"/>
      <sz val="11"/>
      <name val="Arial"/>
      <family val="2"/>
    </font>
    <font>
      <b/>
      <sz val="11"/>
      <color indexed="10"/>
      <name val="Arial"/>
      <family val="2"/>
    </font>
    <font>
      <b/>
      <i/>
      <sz val="11"/>
      <name val="Arial"/>
      <family val="2"/>
    </font>
    <font>
      <sz val="12"/>
      <color indexed="8"/>
      <name val="Calibri"/>
      <family val="2"/>
    </font>
    <font>
      <b/>
      <sz val="8.1"/>
      <name val="Verdana"/>
      <family val="2"/>
    </font>
    <font>
      <sz val="10"/>
      <color indexed="8"/>
      <name val="Verdana"/>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56"/>
        <bgColor indexed="64"/>
      </patternFill>
    </fill>
    <fill>
      <patternFill patternType="solid">
        <fgColor indexed="23"/>
        <bgColor indexed="64"/>
      </patternFill>
    </fill>
    <fill>
      <patternFill patternType="lightDown">
        <bgColor indexed="13"/>
      </patternFill>
    </fill>
    <fill>
      <patternFill patternType="solid">
        <fgColor indexed="48"/>
        <bgColor indexed="64"/>
      </patternFill>
    </fill>
    <fill>
      <patternFill patternType="solid">
        <fgColor indexed="41"/>
        <bgColor indexed="64"/>
      </patternFill>
    </fill>
    <fill>
      <patternFill patternType="lightDown">
        <bgColor indexed="43"/>
      </patternFill>
    </fill>
    <fill>
      <patternFill patternType="lightDown">
        <bgColor indexed="42"/>
      </patternFill>
    </fill>
    <fill>
      <patternFill patternType="solid">
        <fgColor indexed="43"/>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medium"/>
      <right style="medium"/>
      <top style="medium"/>
      <bottom style="medium"/>
    </border>
    <border>
      <left/>
      <right style="medium"/>
      <top/>
      <bottom/>
    </border>
    <border>
      <left style="medium"/>
      <right style="thin"/>
      <top style="medium"/>
      <bottom style="thin"/>
    </border>
    <border>
      <left/>
      <right/>
      <top style="medium"/>
      <bottom style="thin"/>
    </border>
    <border>
      <left style="thin"/>
      <right style="medium"/>
      <top style="medium"/>
      <bottom style="thin"/>
    </border>
    <border>
      <left style="medium"/>
      <right style="thin"/>
      <top style="thin"/>
      <bottom style="thin"/>
    </border>
    <border>
      <left/>
      <right/>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border>
    <border>
      <left/>
      <right/>
      <top style="thin"/>
      <bottom/>
    </border>
    <border>
      <left style="thin"/>
      <right style="medium"/>
      <top style="thin"/>
      <bottom/>
    </border>
    <border>
      <left style="medium"/>
      <right style="thin"/>
      <top style="medium"/>
      <bottom style="medium"/>
    </border>
    <border>
      <left style="thin"/>
      <right style="medium"/>
      <top style="medium"/>
      <bottom style="medium"/>
    </border>
    <border>
      <left style="medium"/>
      <right/>
      <top/>
      <botto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bottom/>
    </border>
    <border>
      <left style="medium"/>
      <right style="thin"/>
      <top/>
      <bottom/>
    </border>
    <border>
      <left style="medium"/>
      <right style="thin"/>
      <top/>
      <bottom style="mediu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thin"/>
      <top style="thin"/>
      <bottom style="medium"/>
    </border>
    <border>
      <left style="thin"/>
      <right style="thin"/>
      <top style="medium"/>
      <bottom style="medium"/>
    </border>
    <border>
      <left style="thin"/>
      <right style="medium"/>
      <top/>
      <bottom style="thin"/>
    </border>
    <border>
      <left style="thin"/>
      <right style="thin"/>
      <top/>
      <bottom style="medium"/>
    </border>
    <border>
      <left style="thin"/>
      <right style="medium"/>
      <top/>
      <bottom style="medium"/>
    </border>
    <border>
      <left style="medium"/>
      <right style="medium"/>
      <top style="medium"/>
      <bottom/>
    </border>
    <border>
      <left style="medium"/>
      <right/>
      <top style="medium"/>
      <bottom/>
    </border>
    <border>
      <left style="medium"/>
      <right style="medium"/>
      <top/>
      <bottom/>
    </border>
    <border>
      <left style="medium"/>
      <right/>
      <top/>
      <bottom style="medium"/>
    </border>
    <border>
      <left style="medium"/>
      <right style="medium"/>
      <top/>
      <bottom style="medium"/>
    </border>
    <border>
      <left style="medium"/>
      <right style="thin"/>
      <top/>
      <bottom style="thin"/>
    </border>
    <border>
      <left/>
      <right style="thin"/>
      <top style="medium"/>
      <bottom style="medium"/>
    </border>
    <border>
      <left/>
      <right/>
      <top style="medium"/>
      <bottom/>
    </border>
    <border>
      <left/>
      <right style="medium"/>
      <top style="medium"/>
      <bottom/>
    </border>
  </borders>
  <cellStyleXfs count="6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6" fillId="3" borderId="0" applyNumberFormat="0" applyBorder="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3" fillId="20" borderId="1" applyNumberFormat="0" applyAlignment="0" applyProtection="0"/>
    <xf numFmtId="0" fontId="5" fillId="21" borderId="2"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8" fillId="0" borderId="0" applyFont="0" applyFill="0" applyBorder="0" applyAlignment="0" applyProtection="0"/>
    <xf numFmtId="0" fontId="7"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0" fontId="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78" fillId="0" borderId="0" applyFont="0" applyFill="0" applyBorder="0" applyAlignment="0" applyProtection="0"/>
    <xf numFmtId="0" fontId="11" fillId="0" borderId="0" applyNumberFormat="0" applyFill="0" applyBorder="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78" fillId="0" borderId="0" applyFont="0" applyFill="0" applyBorder="0" applyAlignment="0" applyProtection="0"/>
    <xf numFmtId="43" fontId="0" fillId="0" borderId="0" applyFont="0" applyFill="0" applyBorder="0" applyAlignment="0" applyProtection="0"/>
    <xf numFmtId="0" fontId="9" fillId="0" borderId="0" applyNumberFormat="0" applyFill="0" applyBorder="0" applyAlignment="0" applyProtection="0"/>
  </cellStyleXfs>
  <cellXfs count="526">
    <xf numFmtId="0" fontId="0" fillId="0" borderId="0" xfId="0" applyAlignment="1">
      <alignment/>
    </xf>
    <xf numFmtId="0" fontId="0" fillId="24" borderId="0" xfId="0" applyFill="1" applyAlignment="1">
      <alignment wrapText="1"/>
    </xf>
    <xf numFmtId="0" fontId="34" fillId="24" borderId="0" xfId="0" applyFont="1" applyFill="1" applyAlignment="1">
      <alignment horizontal="center" wrapText="1"/>
    </xf>
    <xf numFmtId="0" fontId="35" fillId="24" borderId="0" xfId="0" applyFont="1" applyFill="1" applyAlignment="1">
      <alignment horizontal="center" wrapText="1"/>
    </xf>
    <xf numFmtId="0" fontId="36" fillId="24" borderId="0" xfId="0" applyFont="1" applyFill="1" applyAlignment="1">
      <alignment horizontal="center" wrapText="1"/>
    </xf>
    <xf numFmtId="0" fontId="37" fillId="24" borderId="0" xfId="0" applyFont="1" applyFill="1" applyAlignment="1">
      <alignment horizontal="center" wrapText="1"/>
    </xf>
    <xf numFmtId="0" fontId="39" fillId="24" borderId="0" xfId="0" applyFont="1" applyFill="1" applyAlignment="1">
      <alignment horizontal="center" wrapText="1"/>
    </xf>
    <xf numFmtId="0" fontId="26" fillId="24" borderId="0" xfId="0" applyFont="1" applyFill="1" applyAlignment="1">
      <alignment horizontal="justify" wrapText="1"/>
    </xf>
    <xf numFmtId="0" fontId="40" fillId="0" borderId="0" xfId="0" applyFont="1" applyAlignment="1">
      <alignment horizontal="center" vertical="center"/>
    </xf>
    <xf numFmtId="0" fontId="20" fillId="0" borderId="0" xfId="0" applyFont="1" applyAlignment="1">
      <alignment vertical="center" wrapText="1"/>
    </xf>
    <xf numFmtId="0" fontId="18" fillId="0" borderId="0" xfId="0" applyFont="1" applyAlignment="1">
      <alignment vertical="center" wrapText="1"/>
    </xf>
    <xf numFmtId="0" fontId="40" fillId="0" borderId="0" xfId="0" applyFont="1" applyAlignment="1">
      <alignment vertical="center"/>
    </xf>
    <xf numFmtId="0" fontId="0" fillId="0" borderId="0" xfId="300">
      <alignment/>
      <protection/>
    </xf>
    <xf numFmtId="0" fontId="29" fillId="0" borderId="10" xfId="300" applyFont="1" applyBorder="1">
      <alignment/>
      <protection/>
    </xf>
    <xf numFmtId="0" fontId="26" fillId="4" borderId="10" xfId="300" applyFont="1" applyFill="1" applyBorder="1">
      <alignment/>
      <protection/>
    </xf>
    <xf numFmtId="0" fontId="26" fillId="0" borderId="0" xfId="300" applyFont="1">
      <alignment/>
      <protection/>
    </xf>
    <xf numFmtId="0" fontId="26" fillId="4" borderId="11" xfId="300" applyFont="1" applyFill="1" applyBorder="1">
      <alignment/>
      <protection/>
    </xf>
    <xf numFmtId="0" fontId="29" fillId="0" borderId="0" xfId="300" applyFont="1" applyFill="1" applyBorder="1">
      <alignment/>
      <protection/>
    </xf>
    <xf numFmtId="0" fontId="25" fillId="0" borderId="0" xfId="300" applyFont="1">
      <alignment/>
      <protection/>
    </xf>
    <xf numFmtId="0" fontId="26" fillId="0" borderId="10" xfId="300" applyFont="1" applyBorder="1">
      <alignment/>
      <protection/>
    </xf>
    <xf numFmtId="9" fontId="26" fillId="0" borderId="10" xfId="466" applyFont="1" applyBorder="1" applyAlignment="1">
      <alignment/>
    </xf>
    <xf numFmtId="9" fontId="26" fillId="0" borderId="0" xfId="466" applyFont="1" applyAlignment="1">
      <alignment/>
    </xf>
    <xf numFmtId="0" fontId="26" fillId="0" borderId="0" xfId="300" applyFont="1" applyBorder="1">
      <alignment/>
      <protection/>
    </xf>
    <xf numFmtId="9" fontId="30" fillId="0" borderId="10" xfId="466" applyFont="1" applyBorder="1" applyAlignment="1">
      <alignment/>
    </xf>
    <xf numFmtId="9" fontId="30" fillId="0" borderId="12" xfId="466" applyFont="1" applyBorder="1" applyAlignment="1">
      <alignment/>
    </xf>
    <xf numFmtId="9" fontId="29" fillId="0" borderId="13" xfId="466" applyFont="1" applyBorder="1" applyAlignment="1">
      <alignment/>
    </xf>
    <xf numFmtId="0" fontId="26" fillId="0" borderId="10" xfId="300" applyFont="1" applyBorder="1" applyAlignment="1">
      <alignment horizontal="center"/>
      <protection/>
    </xf>
    <xf numFmtId="9" fontId="26" fillId="0" borderId="10" xfId="466" applyFont="1" applyBorder="1" applyAlignment="1">
      <alignment horizontal="center"/>
    </xf>
    <xf numFmtId="0" fontId="25" fillId="0" borderId="0" xfId="300" applyFont="1" applyFill="1" applyBorder="1">
      <alignment/>
      <protection/>
    </xf>
    <xf numFmtId="0" fontId="0" fillId="25" borderId="0" xfId="300" applyFill="1">
      <alignment/>
      <protection/>
    </xf>
    <xf numFmtId="0" fontId="0" fillId="25" borderId="0" xfId="300" applyFill="1" applyBorder="1" applyAlignment="1">
      <alignment horizontal="center"/>
      <protection/>
    </xf>
    <xf numFmtId="0" fontId="0" fillId="25" borderId="14" xfId="300" applyFill="1" applyBorder="1" applyAlignment="1">
      <alignment horizontal="center"/>
      <protection/>
    </xf>
    <xf numFmtId="0" fontId="0" fillId="25" borderId="0" xfId="300" applyFill="1" applyAlignment="1">
      <alignment horizontal="center"/>
      <protection/>
    </xf>
    <xf numFmtId="0" fontId="0" fillId="25" borderId="14" xfId="300" applyFill="1" applyBorder="1">
      <alignment/>
      <protection/>
    </xf>
    <xf numFmtId="9" fontId="0" fillId="25" borderId="0" xfId="300" applyNumberFormat="1" applyFill="1" applyBorder="1" applyAlignment="1">
      <alignment horizontal="center"/>
      <protection/>
    </xf>
    <xf numFmtId="9" fontId="0" fillId="25" borderId="14" xfId="300" applyNumberFormat="1" applyFill="1" applyBorder="1" applyAlignment="1">
      <alignment horizontal="center"/>
      <protection/>
    </xf>
    <xf numFmtId="9" fontId="0" fillId="25" borderId="0" xfId="300" applyNumberFormat="1" applyFill="1" applyAlignment="1">
      <alignment horizontal="center"/>
      <protection/>
    </xf>
    <xf numFmtId="9" fontId="0" fillId="25" borderId="0" xfId="300" applyNumberFormat="1" applyFill="1">
      <alignment/>
      <protection/>
    </xf>
    <xf numFmtId="1" fontId="0" fillId="25" borderId="0" xfId="300" applyNumberFormat="1" applyFill="1">
      <alignment/>
      <protection/>
    </xf>
    <xf numFmtId="0" fontId="0" fillId="25" borderId="10" xfId="300" applyFill="1" applyBorder="1">
      <alignment/>
      <protection/>
    </xf>
    <xf numFmtId="0" fontId="0" fillId="25" borderId="10" xfId="300" applyFill="1" applyBorder="1" applyAlignment="1">
      <alignment horizontal="center"/>
      <protection/>
    </xf>
    <xf numFmtId="9" fontId="0" fillId="25" borderId="10" xfId="300" applyNumberFormat="1" applyFill="1" applyBorder="1" applyAlignment="1">
      <alignment horizontal="center"/>
      <protection/>
    </xf>
    <xf numFmtId="0" fontId="0" fillId="2" borderId="10" xfId="300" applyFill="1" applyBorder="1" applyAlignment="1">
      <alignment horizontal="center"/>
      <protection/>
    </xf>
    <xf numFmtId="0" fontId="0" fillId="2" borderId="10" xfId="300" applyFill="1" applyBorder="1">
      <alignment/>
      <protection/>
    </xf>
    <xf numFmtId="0" fontId="0" fillId="0" borderId="0" xfId="0" applyAlignment="1">
      <alignment vertical="center"/>
    </xf>
    <xf numFmtId="0" fontId="0" fillId="0" borderId="0" xfId="0" applyAlignment="1">
      <alignment horizontal="right" vertical="center"/>
    </xf>
    <xf numFmtId="0" fontId="0" fillId="0" borderId="0" xfId="0" applyAlignment="1">
      <alignment vertical="center" wrapText="1"/>
    </xf>
    <xf numFmtId="41" fontId="0" fillId="0" borderId="0" xfId="189" applyFont="1" applyAlignment="1">
      <alignment vertical="center"/>
    </xf>
    <xf numFmtId="166" fontId="19" fillId="0" borderId="0" xfId="189" applyNumberFormat="1" applyFont="1" applyBorder="1" applyAlignment="1">
      <alignment horizontal="right" vertical="center"/>
    </xf>
    <xf numFmtId="41" fontId="33" fillId="0" borderId="0" xfId="189" applyFont="1" applyAlignment="1">
      <alignment vertical="center"/>
    </xf>
    <xf numFmtId="41" fontId="0" fillId="0" borderId="0" xfId="189" applyFont="1" applyAlignment="1">
      <alignment horizontal="right" vertical="center"/>
    </xf>
    <xf numFmtId="41" fontId="0" fillId="0" borderId="0" xfId="189" applyFont="1" applyBorder="1" applyAlignment="1">
      <alignment horizontal="right" vertical="center"/>
    </xf>
    <xf numFmtId="41" fontId="22" fillId="0" borderId="0" xfId="189" applyFont="1" applyBorder="1" applyAlignment="1">
      <alignment horizontal="right" vertical="center"/>
    </xf>
    <xf numFmtId="41" fontId="23" fillId="0" borderId="0" xfId="189" applyFont="1" applyBorder="1" applyAlignment="1">
      <alignment horizontal="right" vertical="center"/>
    </xf>
    <xf numFmtId="0" fontId="33" fillId="0" borderId="0" xfId="0" applyFont="1" applyAlignment="1">
      <alignment vertical="center"/>
    </xf>
    <xf numFmtId="0" fontId="0" fillId="26" borderId="0" xfId="0" applyFill="1" applyAlignment="1">
      <alignment vertical="center" wrapText="1"/>
    </xf>
    <xf numFmtId="0" fontId="44" fillId="26" borderId="0" xfId="0" applyFont="1" applyFill="1" applyAlignment="1">
      <alignment vertical="center"/>
    </xf>
    <xf numFmtId="0" fontId="0" fillId="24" borderId="0" xfId="0" applyFont="1" applyFill="1" applyAlignment="1">
      <alignment vertical="center"/>
    </xf>
    <xf numFmtId="0" fontId="46" fillId="16" borderId="10" xfId="0" applyFont="1" applyFill="1" applyBorder="1" applyAlignment="1">
      <alignment horizontal="center" vertical="center" wrapText="1"/>
    </xf>
    <xf numFmtId="0" fontId="46" fillId="19" borderId="10" xfId="0" applyFont="1" applyFill="1" applyBorder="1" applyAlignment="1">
      <alignment horizontal="center" vertical="center" wrapText="1"/>
    </xf>
    <xf numFmtId="0" fontId="42" fillId="20" borderId="10" xfId="0" applyFont="1" applyFill="1" applyBorder="1" applyAlignment="1">
      <alignment vertical="center" wrapText="1"/>
    </xf>
    <xf numFmtId="0" fontId="0" fillId="20" borderId="10" xfId="0" applyFont="1" applyFill="1" applyBorder="1" applyAlignment="1">
      <alignment vertical="center" wrapText="1"/>
    </xf>
    <xf numFmtId="0" fontId="15" fillId="0" borderId="0" xfId="301" applyFont="1">
      <alignment/>
      <protection/>
    </xf>
    <xf numFmtId="0" fontId="1" fillId="0" borderId="0" xfId="301">
      <alignment/>
      <protection/>
    </xf>
    <xf numFmtId="0" fontId="20" fillId="24" borderId="10" xfId="328" applyFont="1" applyFill="1" applyBorder="1" applyAlignment="1">
      <alignment vertical="center" wrapText="1"/>
      <protection/>
    </xf>
    <xf numFmtId="44" fontId="20" fillId="24" borderId="10" xfId="608" applyFont="1" applyFill="1" applyBorder="1" applyAlignment="1" applyProtection="1">
      <alignment vertical="center"/>
      <protection locked="0"/>
    </xf>
    <xf numFmtId="0" fontId="1" fillId="24" borderId="0" xfId="301" applyFill="1">
      <alignment/>
      <protection/>
    </xf>
    <xf numFmtId="44" fontId="20" fillId="24" borderId="10" xfId="608" applyFont="1" applyFill="1" applyBorder="1" applyAlignment="1" applyProtection="1">
      <alignment vertical="center" wrapText="1"/>
      <protection locked="0"/>
    </xf>
    <xf numFmtId="49" fontId="20" fillId="24" borderId="10" xfId="328" applyNumberFormat="1" applyFont="1" applyFill="1" applyBorder="1" applyAlignment="1">
      <alignment vertical="center" wrapText="1"/>
      <protection/>
    </xf>
    <xf numFmtId="0" fontId="1" fillId="0" borderId="15" xfId="301" applyBorder="1">
      <alignment/>
      <protection/>
    </xf>
    <xf numFmtId="0" fontId="15" fillId="0" borderId="16" xfId="301" applyFont="1" applyBorder="1">
      <alignment/>
      <protection/>
    </xf>
    <xf numFmtId="0" fontId="15" fillId="0" borderId="17" xfId="301" applyFont="1" applyBorder="1" applyAlignment="1">
      <alignment horizontal="center"/>
      <protection/>
    </xf>
    <xf numFmtId="0" fontId="1" fillId="0" borderId="18" xfId="301" applyBorder="1" applyAlignment="1">
      <alignment wrapText="1"/>
      <protection/>
    </xf>
    <xf numFmtId="0" fontId="1" fillId="0" borderId="19" xfId="301" applyBorder="1" applyAlignment="1">
      <alignment wrapText="1"/>
      <protection/>
    </xf>
    <xf numFmtId="44" fontId="1" fillId="0" borderId="20" xfId="301" applyNumberFormat="1" applyBorder="1">
      <alignment/>
      <protection/>
    </xf>
    <xf numFmtId="0" fontId="1" fillId="0" borderId="18" xfId="301" applyBorder="1">
      <alignment/>
      <protection/>
    </xf>
    <xf numFmtId="0" fontId="1" fillId="0" borderId="20" xfId="301" applyBorder="1">
      <alignment/>
      <protection/>
    </xf>
    <xf numFmtId="0" fontId="1" fillId="25" borderId="21" xfId="301" applyFill="1" applyBorder="1" applyAlignment="1">
      <alignment wrapText="1"/>
      <protection/>
    </xf>
    <xf numFmtId="44" fontId="0" fillId="25" borderId="22" xfId="608" applyFont="1" applyFill="1" applyBorder="1" applyAlignment="1">
      <alignment/>
    </xf>
    <xf numFmtId="0" fontId="1" fillId="25" borderId="23" xfId="301" applyFill="1" applyBorder="1" applyAlignment="1">
      <alignment wrapText="1"/>
      <protection/>
    </xf>
    <xf numFmtId="0" fontId="1" fillId="0" borderId="24" xfId="301" applyBorder="1" applyAlignment="1">
      <alignment wrapText="1"/>
      <protection/>
    </xf>
    <xf numFmtId="44" fontId="0" fillId="25" borderId="25" xfId="608" applyFont="1" applyFill="1" applyBorder="1" applyAlignment="1">
      <alignment/>
    </xf>
    <xf numFmtId="0" fontId="1" fillId="25" borderId="10" xfId="301" applyFill="1" applyBorder="1" applyAlignment="1">
      <alignment wrapText="1"/>
      <protection/>
    </xf>
    <xf numFmtId="0" fontId="1" fillId="0" borderId="10" xfId="301" applyBorder="1" applyAlignment="1">
      <alignment wrapText="1"/>
      <protection/>
    </xf>
    <xf numFmtId="9" fontId="0" fillId="25" borderId="10" xfId="494" applyFont="1" applyFill="1" applyBorder="1" applyAlignment="1">
      <alignment/>
    </xf>
    <xf numFmtId="0" fontId="15" fillId="2" borderId="10" xfId="301" applyFont="1" applyFill="1" applyBorder="1">
      <alignment/>
      <protection/>
    </xf>
    <xf numFmtId="0" fontId="1" fillId="0" borderId="10" xfId="301" applyBorder="1">
      <alignment/>
      <protection/>
    </xf>
    <xf numFmtId="0" fontId="49" fillId="25" borderId="10" xfId="301" applyFont="1" applyFill="1" applyBorder="1">
      <alignment/>
      <protection/>
    </xf>
    <xf numFmtId="44" fontId="1" fillId="0" borderId="0" xfId="301" applyNumberFormat="1">
      <alignment/>
      <protection/>
    </xf>
    <xf numFmtId="0" fontId="1" fillId="2" borderId="10" xfId="301" applyFill="1" applyBorder="1">
      <alignment/>
      <protection/>
    </xf>
    <xf numFmtId="0" fontId="15" fillId="19" borderId="26" xfId="301" applyFont="1" applyFill="1" applyBorder="1" applyAlignment="1">
      <alignment wrapText="1"/>
      <protection/>
    </xf>
    <xf numFmtId="168" fontId="15" fillId="19" borderId="27" xfId="301" applyNumberFormat="1" applyFont="1" applyFill="1" applyBorder="1">
      <alignment/>
      <protection/>
    </xf>
    <xf numFmtId="0" fontId="15" fillId="2" borderId="10" xfId="301" applyFont="1" applyFill="1" applyBorder="1" applyAlignment="1">
      <alignment wrapText="1"/>
      <protection/>
    </xf>
    <xf numFmtId="44" fontId="1" fillId="0" borderId="10" xfId="301" applyNumberFormat="1" applyBorder="1">
      <alignment/>
      <protection/>
    </xf>
    <xf numFmtId="44" fontId="15" fillId="2" borderId="10" xfId="608" applyFont="1" applyFill="1" applyBorder="1" applyAlignment="1">
      <alignment wrapText="1"/>
    </xf>
    <xf numFmtId="0" fontId="1" fillId="0" borderId="28" xfId="301" applyBorder="1">
      <alignment/>
      <protection/>
    </xf>
    <xf numFmtId="0" fontId="1" fillId="0" borderId="0" xfId="301" applyBorder="1">
      <alignment/>
      <protection/>
    </xf>
    <xf numFmtId="0" fontId="1" fillId="0" borderId="14" xfId="301" applyBorder="1">
      <alignment/>
      <protection/>
    </xf>
    <xf numFmtId="0" fontId="43" fillId="0" borderId="28" xfId="97" applyBorder="1" applyAlignment="1" applyProtection="1">
      <alignment/>
      <protection/>
    </xf>
    <xf numFmtId="169" fontId="0" fillId="0" borderId="14" xfId="608" applyNumberFormat="1" applyFont="1" applyBorder="1" applyAlignment="1">
      <alignment/>
    </xf>
    <xf numFmtId="0" fontId="43" fillId="22" borderId="29" xfId="97" applyFill="1" applyBorder="1" applyAlignment="1" applyProtection="1">
      <alignment wrapText="1"/>
      <protection/>
    </xf>
    <xf numFmtId="0" fontId="1" fillId="22" borderId="30" xfId="301" applyFill="1" applyBorder="1">
      <alignment/>
      <protection/>
    </xf>
    <xf numFmtId="44" fontId="0" fillId="22" borderId="31" xfId="608" applyNumberFormat="1" applyFont="1" applyFill="1" applyBorder="1" applyAlignment="1">
      <alignment/>
    </xf>
    <xf numFmtId="0" fontId="1" fillId="22" borderId="29" xfId="301" applyFill="1" applyBorder="1" applyAlignment="1">
      <alignment wrapText="1"/>
      <protection/>
    </xf>
    <xf numFmtId="165" fontId="33" fillId="0" borderId="0" xfId="0" applyNumberFormat="1" applyFont="1" applyAlignment="1">
      <alignment vertical="center"/>
    </xf>
    <xf numFmtId="0" fontId="54" fillId="24" borderId="0" xfId="0" applyFont="1" applyFill="1" applyAlignment="1">
      <alignment wrapText="1"/>
    </xf>
    <xf numFmtId="0" fontId="53" fillId="24" borderId="0" xfId="0" applyFont="1" applyFill="1" applyAlignment="1">
      <alignment horizontal="center" wrapText="1"/>
    </xf>
    <xf numFmtId="0" fontId="0" fillId="20" borderId="10" xfId="0" applyFont="1" applyFill="1" applyBorder="1" applyAlignment="1">
      <alignment horizontal="left" vertical="center" wrapText="1" indent="1"/>
    </xf>
    <xf numFmtId="0" fontId="46" fillId="26" borderId="10" xfId="0" applyFont="1" applyFill="1" applyBorder="1" applyAlignment="1">
      <alignment horizontal="center" vertical="center" wrapText="1"/>
    </xf>
    <xf numFmtId="0" fontId="20" fillId="2" borderId="10" xfId="0" applyFont="1" applyFill="1" applyBorder="1" applyAlignment="1">
      <alignment vertical="center" wrapText="1"/>
    </xf>
    <xf numFmtId="0" fontId="0" fillId="2" borderId="10" xfId="0" applyFont="1" applyFill="1" applyBorder="1" applyAlignment="1">
      <alignment horizontal="left" vertical="center" wrapText="1" indent="1"/>
    </xf>
    <xf numFmtId="0" fontId="0" fillId="2" borderId="10" xfId="0" applyFont="1" applyFill="1" applyBorder="1" applyAlignment="1">
      <alignment vertical="center" wrapText="1"/>
    </xf>
    <xf numFmtId="0" fontId="0" fillId="2" borderId="10" xfId="0" applyFill="1" applyBorder="1" applyAlignment="1">
      <alignment vertical="center" wrapText="1"/>
    </xf>
    <xf numFmtId="0" fontId="20" fillId="2" borderId="10" xfId="0" applyFont="1" applyFill="1" applyBorder="1" applyAlignment="1">
      <alignment horizontal="left" vertical="center" wrapText="1"/>
    </xf>
    <xf numFmtId="0" fontId="0" fillId="2" borderId="10" xfId="0" applyFill="1" applyBorder="1" applyAlignment="1">
      <alignment vertical="center"/>
    </xf>
    <xf numFmtId="0" fontId="0" fillId="2" borderId="10" xfId="0" applyFill="1" applyBorder="1" applyAlignment="1">
      <alignment horizontal="left" vertical="center" wrapText="1" indent="1"/>
    </xf>
    <xf numFmtId="49" fontId="20" fillId="2" borderId="10" xfId="0" applyNumberFormat="1" applyFont="1" applyFill="1" applyBorder="1" applyAlignment="1">
      <alignment vertical="center" wrapText="1"/>
    </xf>
    <xf numFmtId="0" fontId="20" fillId="2" borderId="10" xfId="0" applyFont="1" applyFill="1" applyBorder="1" applyAlignment="1">
      <alignment vertical="center"/>
    </xf>
    <xf numFmtId="0" fontId="20" fillId="20" borderId="10" xfId="0" applyFont="1" applyFill="1" applyBorder="1" applyAlignment="1">
      <alignment vertical="center" wrapText="1"/>
    </xf>
    <xf numFmtId="0" fontId="0" fillId="20" borderId="10" xfId="0" applyFill="1" applyBorder="1" applyAlignment="1">
      <alignment horizontal="left" vertical="center" wrapText="1" indent="1"/>
    </xf>
    <xf numFmtId="0" fontId="0" fillId="20" borderId="10" xfId="0" applyFill="1" applyBorder="1" applyAlignment="1">
      <alignment vertical="center" wrapText="1"/>
    </xf>
    <xf numFmtId="0" fontId="28" fillId="20" borderId="10" xfId="0" applyFont="1" applyFill="1" applyBorder="1" applyAlignment="1">
      <alignment vertical="center" wrapText="1"/>
    </xf>
    <xf numFmtId="0" fontId="20" fillId="20" borderId="10" xfId="0" applyFont="1" applyFill="1" applyBorder="1" applyAlignment="1">
      <alignment vertical="center"/>
    </xf>
    <xf numFmtId="10" fontId="67" fillId="20" borderId="11" xfId="189" applyNumberFormat="1" applyFont="1" applyFill="1" applyBorder="1" applyAlignment="1">
      <alignment horizontal="center" vertical="center"/>
    </xf>
    <xf numFmtId="0" fontId="28" fillId="20" borderId="10" xfId="0" applyFont="1" applyFill="1" applyBorder="1" applyAlignment="1">
      <alignment horizontal="left" vertical="center" wrapText="1"/>
    </xf>
    <xf numFmtId="0" fontId="57" fillId="2" borderId="10" xfId="0" applyFont="1" applyFill="1" applyBorder="1" applyAlignment="1">
      <alignment horizontal="center" vertical="center" wrapText="1"/>
    </xf>
    <xf numFmtId="0" fontId="57" fillId="20" borderId="10" xfId="0" applyFont="1" applyFill="1" applyBorder="1" applyAlignment="1">
      <alignment horizontal="center" vertical="center" wrapText="1"/>
    </xf>
    <xf numFmtId="49" fontId="57" fillId="2" borderId="10" xfId="0" applyNumberFormat="1" applyFont="1" applyFill="1" applyBorder="1" applyAlignment="1">
      <alignment horizontal="center" vertical="center" wrapText="1"/>
    </xf>
    <xf numFmtId="49" fontId="58" fillId="0" borderId="0" xfId="0" applyNumberFormat="1" applyFont="1" applyBorder="1" applyAlignment="1">
      <alignment horizontal="right" vertical="center"/>
    </xf>
    <xf numFmtId="165" fontId="59" fillId="21" borderId="10" xfId="189" applyNumberFormat="1" applyFont="1" applyFill="1" applyBorder="1" applyAlignment="1">
      <alignment horizontal="center" vertical="center" wrapText="1"/>
    </xf>
    <xf numFmtId="0" fontId="0" fillId="26" borderId="0" xfId="0" applyFill="1" applyAlignment="1">
      <alignment horizontal="center" vertical="center" wrapText="1"/>
    </xf>
    <xf numFmtId="0" fontId="44" fillId="26" borderId="0" xfId="0" applyFont="1" applyFill="1" applyAlignment="1">
      <alignment horizontal="center" vertical="center"/>
    </xf>
    <xf numFmtId="10" fontId="0" fillId="0" borderId="0" xfId="466" applyNumberFormat="1" applyFont="1" applyAlignment="1">
      <alignment horizontal="center" vertical="center"/>
    </xf>
    <xf numFmtId="167" fontId="21" fillId="2" borderId="10" xfId="189" applyNumberFormat="1" applyFont="1" applyFill="1" applyBorder="1" applyAlignment="1">
      <alignment vertical="center" wrapText="1"/>
    </xf>
    <xf numFmtId="167" fontId="32" fillId="2" borderId="10" xfId="189" applyNumberFormat="1" applyFont="1" applyFill="1" applyBorder="1" applyAlignment="1">
      <alignment horizontal="right" vertical="center" wrapText="1"/>
    </xf>
    <xf numFmtId="167" fontId="21" fillId="20" borderId="10" xfId="189" applyNumberFormat="1" applyFont="1" applyFill="1" applyBorder="1" applyAlignment="1">
      <alignment vertical="center" wrapText="1"/>
    </xf>
    <xf numFmtId="167" fontId="32" fillId="20" borderId="10" xfId="189" applyNumberFormat="1" applyFont="1" applyFill="1" applyBorder="1" applyAlignment="1">
      <alignment horizontal="right" vertical="center" wrapText="1"/>
    </xf>
    <xf numFmtId="167" fontId="59" fillId="20" borderId="10" xfId="189" applyNumberFormat="1" applyFont="1" applyFill="1" applyBorder="1" applyAlignment="1">
      <alignment horizontal="right" vertical="center" wrapText="1"/>
    </xf>
    <xf numFmtId="167" fontId="59" fillId="2" borderId="10" xfId="189" applyNumberFormat="1" applyFont="1" applyFill="1" applyBorder="1" applyAlignment="1">
      <alignment horizontal="right" vertical="center" wrapText="1"/>
    </xf>
    <xf numFmtId="167" fontId="60" fillId="22" borderId="10" xfId="189" applyNumberFormat="1" applyFont="1" applyFill="1" applyBorder="1" applyAlignment="1">
      <alignment horizontal="right" vertical="center" wrapText="1"/>
    </xf>
    <xf numFmtId="10" fontId="62" fillId="20" borderId="10" xfId="466" applyNumberFormat="1" applyFont="1" applyFill="1" applyBorder="1" applyAlignment="1">
      <alignment horizontal="center" vertical="center"/>
    </xf>
    <xf numFmtId="10" fontId="61" fillId="20" borderId="10" xfId="466" applyNumberFormat="1" applyFont="1" applyFill="1" applyBorder="1" applyAlignment="1">
      <alignment horizontal="center" vertical="center"/>
    </xf>
    <xf numFmtId="10" fontId="59" fillId="21" borderId="10" xfId="466" applyNumberFormat="1" applyFont="1" applyFill="1" applyBorder="1" applyAlignment="1">
      <alignment horizontal="center" vertical="center"/>
    </xf>
    <xf numFmtId="10" fontId="61" fillId="2" borderId="10" xfId="466" applyNumberFormat="1" applyFont="1" applyFill="1" applyBorder="1" applyAlignment="1">
      <alignment horizontal="center" vertical="center"/>
    </xf>
    <xf numFmtId="10" fontId="62" fillId="2" borderId="10" xfId="466" applyNumberFormat="1" applyFont="1" applyFill="1" applyBorder="1" applyAlignment="1">
      <alignment horizontal="center" vertical="center"/>
    </xf>
    <xf numFmtId="0" fontId="46" fillId="18" borderId="10" xfId="0" applyFont="1" applyFill="1" applyBorder="1" applyAlignment="1">
      <alignment horizontal="center" vertical="center" wrapText="1"/>
    </xf>
    <xf numFmtId="167" fontId="32" fillId="11" borderId="10" xfId="189" applyNumberFormat="1" applyFont="1" applyFill="1" applyBorder="1" applyAlignment="1">
      <alignment horizontal="right" vertical="center" wrapText="1"/>
    </xf>
    <xf numFmtId="167" fontId="60" fillId="11" borderId="10" xfId="189" applyNumberFormat="1" applyFont="1" applyFill="1" applyBorder="1" applyAlignment="1">
      <alignment horizontal="right" vertical="center" wrapText="1"/>
    </xf>
    <xf numFmtId="167" fontId="32" fillId="7" borderId="10" xfId="189" applyNumberFormat="1" applyFont="1" applyFill="1" applyBorder="1" applyAlignment="1">
      <alignment horizontal="right" vertical="center" wrapText="1"/>
    </xf>
    <xf numFmtId="167" fontId="0" fillId="22" borderId="10" xfId="0" applyNumberFormat="1" applyFill="1" applyBorder="1" applyAlignment="1">
      <alignment vertical="center"/>
    </xf>
    <xf numFmtId="0" fontId="46" fillId="27" borderId="10" xfId="0" applyFont="1" applyFill="1" applyBorder="1" applyAlignment="1">
      <alignment horizontal="center" vertical="center" wrapText="1"/>
    </xf>
    <xf numFmtId="10" fontId="61" fillId="21" borderId="10" xfId="189" applyNumberFormat="1" applyFont="1" applyFill="1" applyBorder="1" applyAlignment="1">
      <alignment horizontal="center" vertical="center" wrapText="1"/>
    </xf>
    <xf numFmtId="10" fontId="67" fillId="2" borderId="11" xfId="189" applyNumberFormat="1" applyFont="1" applyFill="1" applyBorder="1" applyAlignment="1">
      <alignment horizontal="center" vertical="center"/>
    </xf>
    <xf numFmtId="10" fontId="67" fillId="2" borderId="32" xfId="189" applyNumberFormat="1" applyFont="1" applyFill="1" applyBorder="1" applyAlignment="1">
      <alignment horizontal="center" vertical="center"/>
    </xf>
    <xf numFmtId="0" fontId="0" fillId="2" borderId="10" xfId="0" applyFont="1" applyFill="1" applyBorder="1" applyAlignment="1">
      <alignment horizontal="left" vertical="center" wrapText="1"/>
    </xf>
    <xf numFmtId="0" fontId="0" fillId="2" borderId="10" xfId="0" applyFill="1" applyBorder="1" applyAlignment="1">
      <alignment horizontal="left" vertical="center" wrapText="1"/>
    </xf>
    <xf numFmtId="167" fontId="64" fillId="2" borderId="10" xfId="466" applyNumberFormat="1" applyFont="1" applyFill="1" applyBorder="1" applyAlignment="1">
      <alignment horizontal="center" vertical="center"/>
    </xf>
    <xf numFmtId="167" fontId="64" fillId="20" borderId="10" xfId="466" applyNumberFormat="1" applyFont="1" applyFill="1" applyBorder="1" applyAlignment="1">
      <alignment horizontal="center" vertical="center"/>
    </xf>
    <xf numFmtId="167" fontId="64" fillId="21" borderId="10" xfId="466" applyNumberFormat="1" applyFont="1" applyFill="1" applyBorder="1" applyAlignment="1">
      <alignment horizontal="center" vertical="center"/>
    </xf>
    <xf numFmtId="10" fontId="61" fillId="2" borderId="10" xfId="189" applyNumberFormat="1" applyFont="1" applyFill="1" applyBorder="1" applyAlignment="1">
      <alignment horizontal="center" vertical="center" wrapText="1"/>
    </xf>
    <xf numFmtId="10" fontId="61" fillId="20" borderId="10" xfId="189" applyNumberFormat="1" applyFont="1" applyFill="1" applyBorder="1" applyAlignment="1">
      <alignment horizontal="center" vertical="center" wrapText="1"/>
    </xf>
    <xf numFmtId="10" fontId="67" fillId="2" borderId="10" xfId="189" applyNumberFormat="1" applyFont="1" applyFill="1" applyBorder="1" applyAlignment="1">
      <alignment horizontal="center" vertical="center" wrapText="1"/>
    </xf>
    <xf numFmtId="0" fontId="0" fillId="0" borderId="0" xfId="0" applyAlignment="1">
      <alignment horizontal="center" vertical="center"/>
    </xf>
    <xf numFmtId="167" fontId="64" fillId="2" borderId="11" xfId="466" applyNumberFormat="1" applyFont="1" applyFill="1" applyBorder="1" applyAlignment="1">
      <alignment horizontal="center" vertical="center"/>
    </xf>
    <xf numFmtId="167" fontId="64" fillId="2" borderId="33" xfId="466" applyNumberFormat="1" applyFont="1" applyFill="1" applyBorder="1" applyAlignment="1">
      <alignment horizontal="center" vertical="center"/>
    </xf>
    <xf numFmtId="10" fontId="67" fillId="2" borderId="33" xfId="189" applyNumberFormat="1" applyFont="1" applyFill="1" applyBorder="1" applyAlignment="1">
      <alignment horizontal="center" vertical="center"/>
    </xf>
    <xf numFmtId="167" fontId="59" fillId="2" borderId="11" xfId="189" applyNumberFormat="1" applyFont="1" applyFill="1" applyBorder="1" applyAlignment="1">
      <alignment horizontal="right" vertical="center" wrapText="1"/>
    </xf>
    <xf numFmtId="167" fontId="65" fillId="0" borderId="33" xfId="0" applyNumberFormat="1" applyFont="1" applyBorder="1" applyAlignment="1">
      <alignment horizontal="center" vertical="center"/>
    </xf>
    <xf numFmtId="0" fontId="20" fillId="22" borderId="34" xfId="0" applyFont="1" applyFill="1" applyBorder="1" applyAlignment="1" applyProtection="1">
      <alignment horizontal="center" vertical="center" wrapText="1"/>
      <protection/>
    </xf>
    <xf numFmtId="0" fontId="20" fillId="22" borderId="35" xfId="0" applyFont="1" applyFill="1" applyBorder="1" applyAlignment="1" applyProtection="1">
      <alignment horizontal="center" vertical="center" wrapText="1"/>
      <protection/>
    </xf>
    <xf numFmtId="0" fontId="0" fillId="20" borderId="10" xfId="0" applyFill="1" applyBorder="1" applyAlignment="1">
      <alignment horizontal="left" vertical="center" wrapText="1"/>
    </xf>
    <xf numFmtId="0" fontId="0" fillId="20" borderId="10" xfId="0" applyFill="1" applyBorder="1" applyAlignment="1">
      <alignment horizontal="center" vertical="center" wrapText="1"/>
    </xf>
    <xf numFmtId="49" fontId="57" fillId="20" borderId="10" xfId="0" applyNumberFormat="1" applyFont="1" applyFill="1" applyBorder="1" applyAlignment="1">
      <alignment horizontal="center" vertical="center" wrapText="1"/>
    </xf>
    <xf numFmtId="49" fontId="57" fillId="2" borderId="10" xfId="0" applyNumberFormat="1" applyFont="1" applyFill="1" applyBorder="1" applyAlignment="1">
      <alignment horizontal="center" vertical="center" wrapText="1"/>
    </xf>
    <xf numFmtId="0" fontId="48" fillId="2" borderId="10" xfId="0" applyFont="1" applyFill="1" applyBorder="1" applyAlignment="1">
      <alignment horizontal="center" vertical="center" wrapText="1"/>
    </xf>
    <xf numFmtId="0" fontId="57" fillId="20" borderId="10" xfId="0" applyFont="1" applyFill="1" applyBorder="1" applyAlignment="1">
      <alignment horizontal="center" vertical="center" wrapText="1"/>
    </xf>
    <xf numFmtId="167" fontId="59" fillId="20" borderId="11" xfId="189" applyNumberFormat="1" applyFont="1" applyFill="1" applyBorder="1" applyAlignment="1">
      <alignment horizontal="right" vertical="center" wrapText="1"/>
    </xf>
    <xf numFmtId="167" fontId="59" fillId="20" borderId="33" xfId="189" applyNumberFormat="1" applyFont="1" applyFill="1" applyBorder="1" applyAlignment="1">
      <alignment horizontal="right" vertical="center" wrapText="1"/>
    </xf>
    <xf numFmtId="167" fontId="59" fillId="20" borderId="32" xfId="189" applyNumberFormat="1" applyFont="1" applyFill="1" applyBorder="1" applyAlignment="1">
      <alignment horizontal="right" vertical="center" wrapText="1"/>
    </xf>
    <xf numFmtId="10" fontId="62" fillId="20" borderId="10" xfId="466" applyNumberFormat="1" applyFont="1" applyFill="1" applyBorder="1" applyAlignment="1">
      <alignment horizontal="center" vertical="center"/>
    </xf>
    <xf numFmtId="167" fontId="64" fillId="20" borderId="11" xfId="466" applyNumberFormat="1" applyFont="1" applyFill="1"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10" fontId="61" fillId="20" borderId="11" xfId="189" applyNumberFormat="1" applyFont="1" applyFill="1" applyBorder="1" applyAlignment="1">
      <alignment horizontal="center" vertical="center"/>
    </xf>
    <xf numFmtId="0" fontId="0" fillId="20" borderId="10" xfId="0" applyFill="1" applyBorder="1" applyAlignment="1">
      <alignment horizontal="left" vertical="center" wrapText="1" indent="1"/>
    </xf>
    <xf numFmtId="0" fontId="57" fillId="2" borderId="10" xfId="0" applyFont="1" applyFill="1" applyBorder="1" applyAlignment="1">
      <alignment horizontal="center" vertical="center" wrapText="1"/>
    </xf>
    <xf numFmtId="167" fontId="64" fillId="2" borderId="11" xfId="466" applyNumberFormat="1" applyFont="1" applyFill="1" applyBorder="1" applyAlignment="1">
      <alignment horizontal="center" vertical="center"/>
    </xf>
    <xf numFmtId="167" fontId="64" fillId="2" borderId="32" xfId="466" applyNumberFormat="1" applyFont="1" applyFill="1" applyBorder="1" applyAlignment="1">
      <alignment horizontal="center" vertical="center"/>
    </xf>
    <xf numFmtId="10" fontId="66" fillId="0" borderId="33" xfId="0" applyNumberFormat="1" applyFont="1" applyBorder="1" applyAlignment="1">
      <alignment horizontal="center" vertical="center" wrapText="1"/>
    </xf>
    <xf numFmtId="0" fontId="48" fillId="2" borderId="10" xfId="0" applyFont="1" applyFill="1" applyBorder="1" applyAlignment="1">
      <alignment horizontal="center" vertical="center" wrapText="1"/>
    </xf>
    <xf numFmtId="0" fontId="69" fillId="0" borderId="0" xfId="0" applyFont="1" applyAlignment="1">
      <alignment vertical="center"/>
    </xf>
    <xf numFmtId="0" fontId="35" fillId="0" borderId="0" xfId="0" applyFont="1" applyAlignment="1">
      <alignment vertical="center"/>
    </xf>
    <xf numFmtId="0" fontId="40" fillId="22" borderId="10" xfId="0" applyFont="1" applyFill="1" applyBorder="1" applyAlignment="1">
      <alignment horizontal="center" vertical="center"/>
    </xf>
    <xf numFmtId="0" fontId="40" fillId="22" borderId="12" xfId="0" applyFont="1" applyFill="1" applyBorder="1" applyAlignment="1">
      <alignment horizontal="center" vertical="center"/>
    </xf>
    <xf numFmtId="0" fontId="40" fillId="22" borderId="10" xfId="0" applyFont="1" applyFill="1" applyBorder="1" applyAlignment="1">
      <alignment horizontal="center" vertical="center" wrapText="1"/>
    </xf>
    <xf numFmtId="0" fontId="19" fillId="22" borderId="10" xfId="0" applyFont="1" applyFill="1" applyBorder="1" applyAlignment="1">
      <alignment horizontal="center" vertical="center"/>
    </xf>
    <xf numFmtId="0" fontId="18" fillId="22" borderId="10" xfId="0" applyFont="1" applyFill="1" applyBorder="1" applyAlignment="1">
      <alignment horizontal="left" vertical="center" wrapText="1" indent="1"/>
    </xf>
    <xf numFmtId="167" fontId="25" fillId="22" borderId="12" xfId="0" applyNumberFormat="1" applyFont="1" applyFill="1" applyBorder="1" applyAlignment="1">
      <alignment vertical="center"/>
    </xf>
    <xf numFmtId="0" fontId="70" fillId="22" borderId="10" xfId="0" applyFont="1" applyFill="1" applyBorder="1" applyAlignment="1">
      <alignment horizontal="center" vertical="center" wrapText="1"/>
    </xf>
    <xf numFmtId="0" fontId="20" fillId="22" borderId="10" xfId="0" applyFont="1" applyFill="1" applyBorder="1" applyAlignment="1">
      <alignment horizontal="right" vertical="center" wrapText="1" indent="1"/>
    </xf>
    <xf numFmtId="167" fontId="26" fillId="22" borderId="12" xfId="0" applyNumberFormat="1" applyFont="1" applyFill="1" applyBorder="1" applyAlignment="1">
      <alignment vertical="center"/>
    </xf>
    <xf numFmtId="41" fontId="0" fillId="0" borderId="0" xfId="189" applyFont="1" applyAlignment="1">
      <alignment/>
    </xf>
    <xf numFmtId="41" fontId="33" fillId="0" borderId="0" xfId="189" applyFont="1" applyAlignment="1">
      <alignment/>
    </xf>
    <xf numFmtId="0" fontId="20" fillId="22" borderId="10" xfId="0" applyFont="1" applyFill="1" applyBorder="1" applyAlignment="1">
      <alignment horizontal="left" vertical="center" wrapText="1" indent="1"/>
    </xf>
    <xf numFmtId="167" fontId="25" fillId="0" borderId="0" xfId="0" applyNumberFormat="1" applyFont="1" applyFill="1" applyBorder="1" applyAlignment="1">
      <alignment vertical="center"/>
    </xf>
    <xf numFmtId="0" fontId="0" fillId="0" borderId="0" xfId="0" applyFill="1" applyBorder="1" applyAlignment="1">
      <alignment vertical="center"/>
    </xf>
    <xf numFmtId="167" fontId="71" fillId="22" borderId="10" xfId="0" applyNumberFormat="1" applyFont="1" applyFill="1" applyBorder="1" applyAlignment="1">
      <alignment vertical="center"/>
    </xf>
    <xf numFmtId="0" fontId="33" fillId="0" borderId="0" xfId="0" applyFont="1" applyAlignment="1">
      <alignment/>
    </xf>
    <xf numFmtId="0" fontId="28" fillId="0" borderId="0" xfId="0" applyFont="1" applyAlignment="1">
      <alignment vertical="center" wrapText="1"/>
    </xf>
    <xf numFmtId="0" fontId="28" fillId="0" borderId="0" xfId="0" applyFont="1" applyAlignment="1">
      <alignment horizontal="center" vertical="center" wrapText="1"/>
    </xf>
    <xf numFmtId="0" fontId="69" fillId="0" borderId="0" xfId="0" applyFont="1" applyAlignment="1">
      <alignment horizontal="center" vertical="center"/>
    </xf>
    <xf numFmtId="0" fontId="25" fillId="4" borderId="36" xfId="0" applyFont="1" applyFill="1" applyBorder="1" applyAlignment="1">
      <alignment horizontal="center" vertical="center"/>
    </xf>
    <xf numFmtId="0" fontId="25" fillId="4" borderId="37" xfId="0" applyFont="1" applyFill="1" applyBorder="1" applyAlignment="1">
      <alignment horizontal="center" vertical="center" wrapText="1"/>
    </xf>
    <xf numFmtId="0" fontId="25" fillId="4" borderId="38" xfId="0" applyFont="1" applyFill="1" applyBorder="1" applyAlignment="1">
      <alignment horizontal="center" vertical="center" wrapText="1"/>
    </xf>
    <xf numFmtId="0" fontId="28" fillId="0" borderId="0" xfId="0" applyFont="1" applyAlignment="1">
      <alignment horizontal="center" vertical="center"/>
    </xf>
    <xf numFmtId="0" fontId="28" fillId="4" borderId="39" xfId="0" applyFont="1" applyFill="1" applyBorder="1" applyAlignment="1">
      <alignment horizontal="left" vertical="center" wrapText="1"/>
    </xf>
    <xf numFmtId="0" fontId="28" fillId="4" borderId="39" xfId="0" applyFont="1" applyFill="1" applyBorder="1" applyAlignment="1">
      <alignment horizontal="left" vertical="center" wrapText="1" indent="1"/>
    </xf>
    <xf numFmtId="0" fontId="20" fillId="22" borderId="34" xfId="0" applyFont="1" applyFill="1" applyBorder="1" applyAlignment="1" applyProtection="1">
      <alignment horizontal="left" vertical="center" wrapText="1" indent="1"/>
      <protection/>
    </xf>
    <xf numFmtId="0" fontId="20" fillId="22" borderId="35" xfId="0" applyFont="1" applyFill="1" applyBorder="1" applyAlignment="1" applyProtection="1">
      <alignment horizontal="left" vertical="center" wrapText="1" indent="1"/>
      <protection/>
    </xf>
    <xf numFmtId="0" fontId="20" fillId="22" borderId="36" xfId="0" applyFont="1" applyFill="1" applyBorder="1" applyAlignment="1" applyProtection="1">
      <alignment horizontal="center" vertical="center" wrapText="1"/>
      <protection/>
    </xf>
    <xf numFmtId="0" fontId="28" fillId="4" borderId="39" xfId="0" applyFont="1" applyFill="1" applyBorder="1" applyAlignment="1">
      <alignment horizontal="center" vertical="center" wrapText="1"/>
    </xf>
    <xf numFmtId="3" fontId="71" fillId="4" borderId="17" xfId="0" applyNumberFormat="1" applyFont="1" applyFill="1" applyBorder="1" applyAlignment="1">
      <alignment horizontal="center" vertical="center"/>
    </xf>
    <xf numFmtId="0" fontId="28" fillId="4" borderId="40" xfId="0" applyFont="1" applyFill="1" applyBorder="1" applyAlignment="1">
      <alignment horizontal="left" vertical="center" wrapText="1" indent="1"/>
    </xf>
    <xf numFmtId="0" fontId="28" fillId="4" borderId="40" xfId="0" applyFont="1" applyFill="1" applyBorder="1" applyAlignment="1">
      <alignment horizontal="center" vertical="center" wrapText="1"/>
    </xf>
    <xf numFmtId="3" fontId="71" fillId="4" borderId="22" xfId="0" applyNumberFormat="1" applyFont="1" applyFill="1" applyBorder="1" applyAlignment="1">
      <alignment horizontal="center" vertical="center"/>
    </xf>
    <xf numFmtId="0" fontId="28" fillId="25" borderId="40" xfId="0" applyFont="1" applyFill="1" applyBorder="1" applyAlignment="1">
      <alignment horizontal="left" vertical="center" wrapText="1" indent="1"/>
    </xf>
    <xf numFmtId="0" fontId="28" fillId="28" borderId="40" xfId="0" applyFont="1" applyFill="1" applyBorder="1" applyAlignment="1">
      <alignment horizontal="left" vertical="center" wrapText="1" indent="1"/>
    </xf>
    <xf numFmtId="0" fontId="28" fillId="28" borderId="40" xfId="0" applyFont="1" applyFill="1" applyBorder="1" applyAlignment="1">
      <alignment horizontal="center" vertical="center" wrapText="1"/>
    </xf>
    <xf numFmtId="3" fontId="26" fillId="28" borderId="22" xfId="0" applyNumberFormat="1" applyFont="1" applyFill="1" applyBorder="1" applyAlignment="1">
      <alignment horizontal="center" vertical="center"/>
    </xf>
    <xf numFmtId="0" fontId="28" fillId="4" borderId="10" xfId="0" applyFont="1" applyFill="1" applyBorder="1" applyAlignment="1">
      <alignment horizontal="left" vertical="center" wrapText="1" indent="1"/>
    </xf>
    <xf numFmtId="0" fontId="28" fillId="4" borderId="10" xfId="0" applyFont="1" applyFill="1" applyBorder="1" applyAlignment="1">
      <alignment horizontal="center" vertical="center" wrapText="1"/>
    </xf>
    <xf numFmtId="3" fontId="71" fillId="4" borderId="20" xfId="0" applyNumberFormat="1" applyFont="1" applyFill="1" applyBorder="1" applyAlignment="1">
      <alignment horizontal="center" vertical="center"/>
    </xf>
    <xf numFmtId="0" fontId="28" fillId="25" borderId="39" xfId="0" applyFont="1" applyFill="1" applyBorder="1" applyAlignment="1">
      <alignment horizontal="left" vertical="center" wrapText="1" indent="1"/>
    </xf>
    <xf numFmtId="0" fontId="28" fillId="28" borderId="39" xfId="0" applyFont="1" applyFill="1" applyBorder="1" applyAlignment="1">
      <alignment horizontal="left" vertical="center" wrapText="1" indent="1"/>
    </xf>
    <xf numFmtId="0" fontId="28" fillId="28" borderId="39" xfId="0" applyFont="1" applyFill="1" applyBorder="1" applyAlignment="1">
      <alignment horizontal="center" vertical="center" wrapText="1"/>
    </xf>
    <xf numFmtId="0" fontId="28" fillId="28" borderId="17" xfId="0" applyFont="1" applyFill="1" applyBorder="1" applyAlignment="1">
      <alignment horizontal="center" vertical="center" wrapText="1"/>
    </xf>
    <xf numFmtId="0" fontId="28" fillId="4" borderId="26" xfId="0" applyFont="1" applyFill="1" applyBorder="1" applyAlignment="1">
      <alignment horizontal="left" vertical="center" wrapText="1" indent="1"/>
    </xf>
    <xf numFmtId="0" fontId="28" fillId="4" borderId="41" xfId="0" applyFont="1" applyFill="1" applyBorder="1" applyAlignment="1">
      <alignment horizontal="left" vertical="center" wrapText="1" indent="1"/>
    </xf>
    <xf numFmtId="0" fontId="28" fillId="4" borderId="41" xfId="0" applyFont="1" applyFill="1" applyBorder="1" applyAlignment="1">
      <alignment horizontal="center" vertical="center" wrapText="1"/>
    </xf>
    <xf numFmtId="3" fontId="71" fillId="4" borderId="27" xfId="0" applyNumberFormat="1" applyFont="1" applyFill="1" applyBorder="1" applyAlignment="1">
      <alignment horizontal="center" vertical="center"/>
    </xf>
    <xf numFmtId="0" fontId="0" fillId="29" borderId="10" xfId="0" applyFill="1" applyBorder="1" applyAlignment="1">
      <alignment vertical="center" wrapText="1"/>
    </xf>
    <xf numFmtId="0" fontId="28" fillId="29" borderId="39" xfId="0" applyFont="1" applyFill="1" applyBorder="1" applyAlignment="1">
      <alignment horizontal="center" vertical="center" wrapText="1"/>
    </xf>
    <xf numFmtId="3" fontId="71" fillId="29" borderId="17" xfId="0" applyNumberFormat="1" applyFont="1" applyFill="1" applyBorder="1" applyAlignment="1">
      <alignment horizontal="center" vertical="center"/>
    </xf>
    <xf numFmtId="0" fontId="28" fillId="29" borderId="10" xfId="0" applyFont="1" applyFill="1" applyBorder="1" applyAlignment="1">
      <alignment horizontal="center" vertical="center" wrapText="1"/>
    </xf>
    <xf numFmtId="3" fontId="71" fillId="29" borderId="20" xfId="0" applyNumberFormat="1" applyFont="1" applyFill="1" applyBorder="1" applyAlignment="1">
      <alignment horizontal="center" vertical="center"/>
    </xf>
    <xf numFmtId="0" fontId="28" fillId="29" borderId="10" xfId="0" applyFont="1" applyFill="1" applyBorder="1" applyAlignment="1">
      <alignment horizontal="left" vertical="center" wrapText="1" indent="1"/>
    </xf>
    <xf numFmtId="0" fontId="28" fillId="29" borderId="40" xfId="0" applyFont="1" applyFill="1" applyBorder="1" applyAlignment="1">
      <alignment horizontal="left" vertical="center" wrapText="1" indent="1"/>
    </xf>
    <xf numFmtId="0" fontId="28" fillId="29" borderId="40" xfId="0" applyFont="1" applyFill="1" applyBorder="1" applyAlignment="1">
      <alignment horizontal="center" vertical="center" wrapText="1"/>
    </xf>
    <xf numFmtId="3" fontId="26" fillId="29" borderId="22" xfId="0" applyNumberFormat="1" applyFont="1" applyFill="1" applyBorder="1" applyAlignment="1">
      <alignment horizontal="center" vertical="center"/>
    </xf>
    <xf numFmtId="3" fontId="26" fillId="28" borderId="17" xfId="0" applyNumberFormat="1" applyFont="1" applyFill="1" applyBorder="1" applyAlignment="1">
      <alignment horizontal="center" vertical="center"/>
    </xf>
    <xf numFmtId="0" fontId="28" fillId="0" borderId="0" xfId="0" applyFont="1" applyAlignment="1" applyProtection="1">
      <alignment vertical="center" wrapText="1"/>
      <protection/>
    </xf>
    <xf numFmtId="0" fontId="35" fillId="0" borderId="0" xfId="0" applyFont="1" applyAlignment="1" applyProtection="1">
      <alignment vertical="center"/>
      <protection/>
    </xf>
    <xf numFmtId="0" fontId="69" fillId="0" borderId="0" xfId="0" applyFont="1" applyAlignment="1" applyProtection="1">
      <alignment vertical="center"/>
      <protection/>
    </xf>
    <xf numFmtId="0" fontId="25" fillId="22" borderId="36" xfId="0" applyFont="1" applyFill="1" applyBorder="1" applyAlignment="1" applyProtection="1">
      <alignment horizontal="center" vertical="center" wrapText="1"/>
      <protection/>
    </xf>
    <xf numFmtId="0" fontId="25" fillId="22" borderId="37" xfId="0" applyFont="1" applyFill="1" applyBorder="1" applyAlignment="1" applyProtection="1">
      <alignment horizontal="center" vertical="center" wrapText="1"/>
      <protection/>
    </xf>
    <xf numFmtId="43" fontId="25" fillId="22" borderId="38" xfId="188" applyFont="1" applyFill="1" applyBorder="1" applyAlignment="1" applyProtection="1">
      <alignment horizontal="center" vertical="center" wrapText="1"/>
      <protection/>
    </xf>
    <xf numFmtId="43" fontId="25" fillId="30" borderId="38" xfId="188" applyFont="1" applyFill="1" applyBorder="1" applyAlignment="1" applyProtection="1">
      <alignment horizontal="center" vertical="center" wrapText="1"/>
      <protection/>
    </xf>
    <xf numFmtId="0" fontId="20" fillId="22" borderId="39" xfId="0" applyFont="1" applyFill="1" applyBorder="1" applyAlignment="1" applyProtection="1">
      <alignment horizontal="left" vertical="center" wrapText="1" indent="1"/>
      <protection/>
    </xf>
    <xf numFmtId="167" fontId="26" fillId="0" borderId="39" xfId="0" applyNumberFormat="1" applyFont="1" applyFill="1" applyBorder="1" applyAlignment="1">
      <alignment vertical="center"/>
    </xf>
    <xf numFmtId="7" fontId="26" fillId="22" borderId="17" xfId="0" applyNumberFormat="1" applyFont="1" applyFill="1" applyBorder="1" applyAlignment="1" applyProtection="1">
      <alignment horizontal="center" vertical="center" wrapText="1"/>
      <protection/>
    </xf>
    <xf numFmtId="0" fontId="20" fillId="22" borderId="40" xfId="0" applyFont="1" applyFill="1" applyBorder="1" applyAlignment="1" applyProtection="1">
      <alignment horizontal="left" vertical="center" wrapText="1" indent="1"/>
      <protection/>
    </xf>
    <xf numFmtId="7" fontId="26" fillId="22" borderId="40" xfId="0" applyNumberFormat="1" applyFont="1" applyFill="1" applyBorder="1" applyAlignment="1" applyProtection="1">
      <alignment horizontal="right" vertical="center" wrapText="1"/>
      <protection/>
    </xf>
    <xf numFmtId="7" fontId="26" fillId="22" borderId="22" xfId="0" applyNumberFormat="1" applyFont="1" applyFill="1" applyBorder="1" applyAlignment="1" applyProtection="1">
      <alignment horizontal="center" vertical="center" wrapText="1"/>
      <protection/>
    </xf>
    <xf numFmtId="0" fontId="20" fillId="22" borderId="32" xfId="0" applyFont="1" applyFill="1" applyBorder="1" applyAlignment="1" applyProtection="1">
      <alignment horizontal="left" vertical="center" wrapText="1" indent="1"/>
      <protection/>
    </xf>
    <xf numFmtId="167" fontId="26" fillId="0" borderId="32" xfId="0" applyNumberFormat="1" applyFont="1" applyFill="1" applyBorder="1" applyAlignment="1">
      <alignment vertical="center"/>
    </xf>
    <xf numFmtId="7" fontId="26" fillId="22" borderId="42" xfId="0" applyNumberFormat="1" applyFont="1" applyFill="1" applyBorder="1" applyAlignment="1" applyProtection="1">
      <alignment horizontal="center" vertical="center" wrapText="1"/>
      <protection/>
    </xf>
    <xf numFmtId="0" fontId="20" fillId="22" borderId="11" xfId="0" applyFont="1" applyFill="1" applyBorder="1" applyAlignment="1" applyProtection="1">
      <alignment horizontal="left" vertical="center" wrapText="1" indent="1"/>
      <protection/>
    </xf>
    <xf numFmtId="167" fontId="20" fillId="31" borderId="11" xfId="189" applyNumberFormat="1" applyFont="1" applyFill="1" applyBorder="1" applyAlignment="1" applyProtection="1">
      <alignment vertical="center" wrapText="1"/>
      <protection locked="0"/>
    </xf>
    <xf numFmtId="7" fontId="26" fillId="31" borderId="25" xfId="0" applyNumberFormat="1" applyFont="1" applyFill="1" applyBorder="1" applyAlignment="1" applyProtection="1">
      <alignment horizontal="center" vertical="center" wrapText="1"/>
      <protection/>
    </xf>
    <xf numFmtId="0" fontId="20" fillId="22" borderId="10" xfId="0" applyFont="1" applyFill="1" applyBorder="1" applyAlignment="1" applyProtection="1">
      <alignment horizontal="left" vertical="center" wrapText="1" indent="1"/>
      <protection/>
    </xf>
    <xf numFmtId="167" fontId="26" fillId="0" borderId="10" xfId="0" applyNumberFormat="1" applyFont="1" applyFill="1" applyBorder="1" applyAlignment="1">
      <alignment vertical="center"/>
    </xf>
    <xf numFmtId="7" fontId="26" fillId="22" borderId="20" xfId="0" applyNumberFormat="1" applyFont="1" applyFill="1" applyBorder="1" applyAlignment="1" applyProtection="1">
      <alignment horizontal="center" vertical="center" wrapText="1"/>
      <protection/>
    </xf>
    <xf numFmtId="167" fontId="26" fillId="0" borderId="11" xfId="0" applyNumberFormat="1" applyFont="1" applyFill="1" applyBorder="1" applyAlignment="1">
      <alignment vertical="center"/>
    </xf>
    <xf numFmtId="7" fontId="26" fillId="22" borderId="25" xfId="0" applyNumberFormat="1" applyFont="1" applyFill="1" applyBorder="1" applyAlignment="1" applyProtection="1">
      <alignment horizontal="center" vertical="center" wrapText="1"/>
      <protection/>
    </xf>
    <xf numFmtId="0" fontId="20" fillId="22" borderId="35" xfId="0" applyFont="1" applyFill="1" applyBorder="1" applyAlignment="1" applyProtection="1">
      <alignment horizontal="left" vertical="center" wrapText="1" indent="1"/>
      <protection/>
    </xf>
    <xf numFmtId="0" fontId="20" fillId="22" borderId="43" xfId="0" applyFont="1" applyFill="1" applyBorder="1" applyAlignment="1" applyProtection="1">
      <alignment horizontal="left" vertical="center" wrapText="1" indent="1"/>
      <protection/>
    </xf>
    <xf numFmtId="167" fontId="20" fillId="31" borderId="43" xfId="189" applyNumberFormat="1" applyFont="1" applyFill="1" applyBorder="1" applyAlignment="1" applyProtection="1">
      <alignment vertical="center" wrapText="1"/>
      <protection locked="0"/>
    </xf>
    <xf numFmtId="7" fontId="26" fillId="31" borderId="44" xfId="0" applyNumberFormat="1" applyFont="1" applyFill="1" applyBorder="1" applyAlignment="1" applyProtection="1">
      <alignment horizontal="center" vertical="center" wrapText="1"/>
      <protection/>
    </xf>
    <xf numFmtId="0" fontId="20" fillId="22" borderId="37" xfId="0" applyFont="1" applyFill="1" applyBorder="1" applyAlignment="1" applyProtection="1">
      <alignment horizontal="left" vertical="center" wrapText="1" indent="1"/>
      <protection/>
    </xf>
    <xf numFmtId="167" fontId="26" fillId="0" borderId="37" xfId="0" applyNumberFormat="1" applyFont="1" applyFill="1" applyBorder="1" applyAlignment="1">
      <alignment vertical="center"/>
    </xf>
    <xf numFmtId="7" fontId="26" fillId="22" borderId="38" xfId="0" applyNumberFormat="1" applyFont="1" applyFill="1" applyBorder="1" applyAlignment="1" applyProtection="1">
      <alignment horizontal="center" vertical="center" wrapText="1"/>
      <protection/>
    </xf>
    <xf numFmtId="167" fontId="26" fillId="0" borderId="40" xfId="0" applyNumberFormat="1" applyFont="1" applyFill="1" applyBorder="1" applyAlignment="1">
      <alignment vertical="center"/>
    </xf>
    <xf numFmtId="0" fontId="20" fillId="22" borderId="41" xfId="0" applyFont="1" applyFill="1" applyBorder="1" applyAlignment="1" applyProtection="1">
      <alignment horizontal="left" vertical="center" wrapText="1" indent="1"/>
      <protection/>
    </xf>
    <xf numFmtId="167" fontId="26" fillId="0" borderId="41" xfId="0" applyNumberFormat="1" applyFont="1" applyFill="1" applyBorder="1" applyAlignment="1">
      <alignment vertical="center"/>
    </xf>
    <xf numFmtId="7" fontId="26" fillId="22" borderId="27" xfId="0" applyNumberFormat="1" applyFont="1" applyFill="1" applyBorder="1" applyAlignment="1" applyProtection="1">
      <alignment horizontal="center" vertical="center" wrapText="1"/>
      <protection/>
    </xf>
    <xf numFmtId="0" fontId="25" fillId="22" borderId="13" xfId="0" applyFont="1" applyFill="1" applyBorder="1" applyAlignment="1" applyProtection="1">
      <alignment horizontal="center" vertical="center" wrapText="1"/>
      <protection/>
    </xf>
    <xf numFmtId="0" fontId="18" fillId="0" borderId="0" xfId="0" applyFont="1" applyAlignment="1">
      <alignment vertical="center"/>
    </xf>
    <xf numFmtId="0" fontId="20" fillId="22" borderId="15" xfId="0" applyFont="1" applyFill="1" applyBorder="1" applyAlignment="1" applyProtection="1">
      <alignment horizontal="left" vertical="center" wrapText="1" indent="1"/>
      <protection/>
    </xf>
    <xf numFmtId="10" fontId="26" fillId="0" borderId="39" xfId="466" applyNumberFormat="1" applyFont="1" applyFill="1" applyBorder="1" applyAlignment="1" applyProtection="1">
      <alignment horizontal="center" vertical="center" wrapText="1"/>
      <protection locked="0"/>
    </xf>
    <xf numFmtId="0" fontId="20" fillId="22" borderId="21" xfId="0" applyFont="1" applyFill="1" applyBorder="1" applyAlignment="1" applyProtection="1">
      <alignment horizontal="left" vertical="center" wrapText="1" indent="1"/>
      <protection/>
    </xf>
    <xf numFmtId="10" fontId="26" fillId="0" borderId="40" xfId="466" applyNumberFormat="1" applyFont="1" applyFill="1" applyBorder="1" applyAlignment="1" applyProtection="1">
      <alignment horizontal="center" vertical="center" wrapText="1"/>
      <protection locked="0"/>
    </xf>
    <xf numFmtId="0" fontId="25" fillId="22" borderId="26" xfId="0" applyFont="1" applyFill="1" applyBorder="1" applyAlignment="1" applyProtection="1">
      <alignment horizontal="center" vertical="center" wrapText="1"/>
      <protection/>
    </xf>
    <xf numFmtId="0" fontId="28" fillId="0" borderId="0" xfId="0" applyFont="1" applyAlignment="1">
      <alignment vertical="center"/>
    </xf>
    <xf numFmtId="0" fontId="20" fillId="22" borderId="18" xfId="0" applyFont="1" applyFill="1" applyBorder="1" applyAlignment="1" applyProtection="1">
      <alignment vertical="center" wrapText="1"/>
      <protection/>
    </xf>
    <xf numFmtId="0" fontId="20" fillId="22" borderId="10" xfId="0" applyFont="1" applyFill="1" applyBorder="1" applyAlignment="1" applyProtection="1">
      <alignment vertical="center" wrapText="1"/>
      <protection/>
    </xf>
    <xf numFmtId="0" fontId="20" fillId="22" borderId="21" xfId="0" applyFont="1" applyFill="1" applyBorder="1" applyAlignment="1" applyProtection="1">
      <alignment vertical="center" wrapText="1"/>
      <protection/>
    </xf>
    <xf numFmtId="0" fontId="20" fillId="22" borderId="40" xfId="0" applyFont="1" applyFill="1" applyBorder="1" applyAlignment="1" applyProtection="1">
      <alignment vertical="center" wrapText="1"/>
      <protection/>
    </xf>
    <xf numFmtId="0" fontId="46" fillId="27" borderId="11" xfId="0" applyFont="1" applyFill="1" applyBorder="1" applyAlignment="1">
      <alignment horizontal="center" vertical="center" wrapText="1"/>
    </xf>
    <xf numFmtId="0" fontId="46" fillId="19" borderId="11" xfId="0" applyFont="1" applyFill="1" applyBorder="1" applyAlignment="1">
      <alignment horizontal="center" vertical="center" wrapText="1"/>
    </xf>
    <xf numFmtId="0" fontId="18" fillId="2" borderId="10" xfId="0" applyFont="1" applyFill="1" applyBorder="1" applyAlignment="1">
      <alignment vertical="center" wrapText="1"/>
    </xf>
    <xf numFmtId="10" fontId="61" fillId="20" borderId="33" xfId="189" applyNumberFormat="1" applyFont="1" applyFill="1" applyBorder="1" applyAlignment="1">
      <alignment horizontal="center" vertical="center"/>
    </xf>
    <xf numFmtId="0" fontId="0" fillId="20" borderId="11" xfId="0" applyFont="1" applyFill="1" applyBorder="1" applyAlignment="1">
      <alignment vertical="center" wrapText="1"/>
    </xf>
    <xf numFmtId="0" fontId="18" fillId="20" borderId="10" xfId="0" applyFont="1" applyFill="1" applyBorder="1" applyAlignment="1">
      <alignment vertical="center" wrapText="1"/>
    </xf>
    <xf numFmtId="0" fontId="40" fillId="2" borderId="10" xfId="0" applyFont="1" applyFill="1" applyBorder="1" applyAlignment="1">
      <alignment vertical="center" wrapText="1"/>
    </xf>
    <xf numFmtId="0" fontId="47" fillId="20" borderId="10" xfId="0" applyFont="1" applyFill="1" applyBorder="1" applyAlignment="1">
      <alignment vertical="center" wrapText="1"/>
    </xf>
    <xf numFmtId="0" fontId="27" fillId="20" borderId="10" xfId="0" applyFont="1" applyFill="1" applyBorder="1" applyAlignment="1">
      <alignment vertical="center" wrapText="1"/>
    </xf>
    <xf numFmtId="10" fontId="67" fillId="2" borderId="11" xfId="189" applyNumberFormat="1" applyFont="1" applyFill="1" applyBorder="1" applyAlignment="1">
      <alignment horizontal="center" vertical="center" wrapText="1"/>
    </xf>
    <xf numFmtId="0" fontId="27" fillId="20" borderId="10" xfId="0" applyFont="1" applyFill="1" applyBorder="1" applyAlignment="1">
      <alignment horizontal="left" vertical="center" wrapText="1"/>
    </xf>
    <xf numFmtId="49" fontId="18" fillId="2" borderId="10" xfId="0" applyNumberFormat="1" applyFont="1" applyFill="1" applyBorder="1" applyAlignment="1">
      <alignment vertical="center" wrapText="1"/>
    </xf>
    <xf numFmtId="167" fontId="0" fillId="0" borderId="0" xfId="0" applyNumberFormat="1" applyAlignment="1">
      <alignment vertical="center"/>
    </xf>
    <xf numFmtId="167" fontId="40" fillId="20" borderId="10" xfId="0" applyNumberFormat="1" applyFont="1" applyFill="1" applyBorder="1" applyAlignment="1">
      <alignment horizontal="right" vertical="center"/>
    </xf>
    <xf numFmtId="167" fontId="40" fillId="2" borderId="10" xfId="189" applyNumberFormat="1" applyFont="1" applyFill="1" applyBorder="1" applyAlignment="1">
      <alignment vertical="center" wrapText="1"/>
    </xf>
    <xf numFmtId="167" fontId="40" fillId="2" borderId="10" xfId="0" applyNumberFormat="1" applyFont="1" applyFill="1" applyBorder="1" applyAlignment="1">
      <alignment horizontal="right" vertical="center"/>
    </xf>
    <xf numFmtId="167" fontId="40" fillId="2" borderId="10" xfId="0" applyNumberFormat="1" applyFont="1" applyFill="1" applyBorder="1" applyAlignment="1">
      <alignment vertical="center"/>
    </xf>
    <xf numFmtId="0" fontId="20" fillId="22" borderId="26" xfId="0" applyFont="1" applyFill="1" applyBorder="1" applyAlignment="1" applyProtection="1">
      <alignment horizontal="left" vertical="center" wrapText="1" indent="1"/>
      <protection/>
    </xf>
    <xf numFmtId="0" fontId="20" fillId="22" borderId="37" xfId="0" applyFont="1" applyFill="1" applyBorder="1" applyAlignment="1" applyProtection="1">
      <alignment horizontal="left" vertical="center" wrapText="1" indent="1"/>
      <protection/>
    </xf>
    <xf numFmtId="0" fontId="25" fillId="4" borderId="36" xfId="0" applyFont="1" applyFill="1" applyBorder="1" applyAlignment="1">
      <alignment horizontal="center" vertical="center"/>
    </xf>
    <xf numFmtId="0" fontId="25" fillId="4" borderId="37" xfId="0" applyFont="1" applyFill="1" applyBorder="1" applyAlignment="1">
      <alignment horizontal="center" vertical="center" wrapText="1"/>
    </xf>
    <xf numFmtId="0" fontId="25" fillId="4" borderId="38"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28" fillId="4" borderId="40" xfId="0" applyFont="1" applyFill="1" applyBorder="1" applyAlignment="1">
      <alignment horizontal="left" vertical="center" wrapText="1" indent="1"/>
    </xf>
    <xf numFmtId="0" fontId="28" fillId="4" borderId="40" xfId="0" applyFont="1" applyFill="1" applyBorder="1" applyAlignment="1">
      <alignment horizontal="center" vertical="center" wrapText="1"/>
    </xf>
    <xf numFmtId="0" fontId="28" fillId="4" borderId="39" xfId="0" applyFont="1" applyFill="1" applyBorder="1" applyAlignment="1">
      <alignment horizontal="center" vertical="center" wrapText="1"/>
    </xf>
    <xf numFmtId="0" fontId="28" fillId="32" borderId="39" xfId="0" applyFont="1" applyFill="1" applyBorder="1" applyAlignment="1">
      <alignment horizontal="center" vertical="center" wrapText="1"/>
    </xf>
    <xf numFmtId="0" fontId="28" fillId="4" borderId="35" xfId="0" applyFont="1" applyFill="1" applyBorder="1" applyAlignment="1">
      <alignment horizontal="left" vertical="center" wrapText="1" indent="1"/>
    </xf>
    <xf numFmtId="0" fontId="28" fillId="4" borderId="43" xfId="0" applyFont="1" applyFill="1" applyBorder="1" applyAlignment="1">
      <alignment horizontal="left" vertical="center" wrapText="1" indent="1"/>
    </xf>
    <xf numFmtId="0" fontId="28" fillId="4" borderId="43" xfId="0" applyFont="1" applyFill="1" applyBorder="1" applyAlignment="1">
      <alignment horizontal="center" vertical="center" wrapText="1"/>
    </xf>
    <xf numFmtId="7" fontId="26" fillId="31" borderId="40" xfId="0" applyNumberFormat="1" applyFont="1" applyFill="1" applyBorder="1" applyAlignment="1" applyProtection="1">
      <alignment horizontal="center" vertical="center" wrapText="1"/>
      <protection/>
    </xf>
    <xf numFmtId="7" fontId="26" fillId="31" borderId="41" xfId="0" applyNumberFormat="1" applyFont="1" applyFill="1" applyBorder="1" applyAlignment="1" applyProtection="1">
      <alignment horizontal="center" vertical="center" wrapText="1"/>
      <protection/>
    </xf>
    <xf numFmtId="10" fontId="26" fillId="0" borderId="43" xfId="466" applyNumberFormat="1" applyFont="1" applyFill="1" applyBorder="1" applyAlignment="1" applyProtection="1">
      <alignment horizontal="center" vertical="center" wrapText="1"/>
      <protection locked="0"/>
    </xf>
    <xf numFmtId="7" fontId="26" fillId="22" borderId="44" xfId="0" applyNumberFormat="1" applyFont="1" applyFill="1" applyBorder="1" applyAlignment="1" applyProtection="1">
      <alignment horizontal="center" vertical="center" wrapText="1"/>
      <protection/>
    </xf>
    <xf numFmtId="10" fontId="26" fillId="0" borderId="41" xfId="466" applyNumberFormat="1" applyFont="1" applyFill="1" applyBorder="1" applyAlignment="1" applyProtection="1">
      <alignment horizontal="center" vertical="center" wrapText="1"/>
      <protection locked="0"/>
    </xf>
    <xf numFmtId="167" fontId="25" fillId="31" borderId="12" xfId="0" applyNumberFormat="1" applyFont="1" applyFill="1" applyBorder="1" applyAlignment="1">
      <alignment vertical="center"/>
    </xf>
    <xf numFmtId="0" fontId="0" fillId="24" borderId="0" xfId="0" applyFill="1" applyAlignment="1">
      <alignment/>
    </xf>
    <xf numFmtId="0" fontId="35" fillId="24" borderId="0" xfId="0" applyFont="1" applyFill="1" applyAlignment="1">
      <alignment vertical="center"/>
    </xf>
    <xf numFmtId="0" fontId="28" fillId="24" borderId="0" xfId="0" applyFont="1" applyFill="1" applyAlignment="1">
      <alignment vertical="center" wrapText="1"/>
    </xf>
    <xf numFmtId="0" fontId="28" fillId="24" borderId="0" xfId="0" applyFont="1" applyFill="1" applyAlignment="1">
      <alignment horizontal="center" vertical="center" wrapText="1"/>
    </xf>
    <xf numFmtId="0" fontId="69" fillId="24" borderId="0" xfId="0" applyFont="1" applyFill="1" applyAlignment="1">
      <alignment vertical="center"/>
    </xf>
    <xf numFmtId="0" fontId="69" fillId="24" borderId="0" xfId="0" applyFont="1" applyFill="1" applyAlignment="1">
      <alignment horizontal="center" vertical="center"/>
    </xf>
    <xf numFmtId="0" fontId="28" fillId="24" borderId="0" xfId="0" applyFont="1" applyFill="1" applyAlignment="1">
      <alignment horizontal="center" vertical="center"/>
    </xf>
    <xf numFmtId="0" fontId="0" fillId="24" borderId="0" xfId="0" applyFill="1" applyAlignment="1">
      <alignment vertical="center"/>
    </xf>
    <xf numFmtId="0" fontId="28" fillId="24" borderId="0" xfId="0" applyFont="1" applyFill="1" applyAlignment="1" applyProtection="1">
      <alignment vertical="center" wrapText="1"/>
      <protection/>
    </xf>
    <xf numFmtId="0" fontId="35" fillId="24" borderId="0" xfId="0" applyFont="1" applyFill="1" applyAlignment="1" applyProtection="1">
      <alignment vertical="center"/>
      <protection/>
    </xf>
    <xf numFmtId="0" fontId="69" fillId="24" borderId="0" xfId="0" applyFont="1" applyFill="1" applyAlignment="1" applyProtection="1">
      <alignment vertical="center"/>
      <protection/>
    </xf>
    <xf numFmtId="0" fontId="18" fillId="24" borderId="0" xfId="0" applyFont="1" applyFill="1" applyAlignment="1">
      <alignment vertical="center"/>
    </xf>
    <xf numFmtId="0" fontId="18" fillId="24" borderId="0" xfId="0" applyFont="1" applyFill="1" applyAlignment="1">
      <alignment vertical="center" wrapText="1"/>
    </xf>
    <xf numFmtId="0" fontId="20" fillId="24" borderId="0" xfId="0" applyFont="1" applyFill="1" applyAlignment="1">
      <alignment vertical="center" wrapText="1"/>
    </xf>
    <xf numFmtId="0" fontId="28" fillId="24" borderId="0" xfId="0" applyFont="1" applyFill="1" applyAlignment="1" applyProtection="1">
      <alignment horizontal="center" vertical="center" wrapText="1"/>
      <protection/>
    </xf>
    <xf numFmtId="0" fontId="69" fillId="24" borderId="0" xfId="0" applyFont="1" applyFill="1" applyAlignment="1" applyProtection="1">
      <alignment horizontal="center" vertical="center"/>
      <protection/>
    </xf>
    <xf numFmtId="0" fontId="40" fillId="24" borderId="0" xfId="0" applyFont="1" applyFill="1" applyAlignment="1">
      <alignment vertical="center"/>
    </xf>
    <xf numFmtId="0" fontId="28" fillId="24" borderId="0" xfId="0" applyFont="1" applyFill="1" applyAlignment="1">
      <alignment vertical="center"/>
    </xf>
    <xf numFmtId="0" fontId="35" fillId="0" borderId="0" xfId="300" applyFont="1">
      <alignment/>
      <protection/>
    </xf>
    <xf numFmtId="0" fontId="46" fillId="17" borderId="13" xfId="300" applyFont="1" applyFill="1" applyBorder="1" applyAlignment="1">
      <alignment horizontal="center" vertical="center"/>
      <protection/>
    </xf>
    <xf numFmtId="0" fontId="46" fillId="16" borderId="13" xfId="300" applyFont="1" applyFill="1" applyBorder="1" applyAlignment="1">
      <alignment horizontal="center" vertical="center" wrapText="1"/>
      <protection/>
    </xf>
    <xf numFmtId="0" fontId="46" fillId="17" borderId="13" xfId="300" applyFont="1" applyFill="1" applyBorder="1" applyAlignment="1">
      <alignment horizontal="center" vertical="center" wrapText="1"/>
      <protection/>
    </xf>
    <xf numFmtId="0" fontId="45" fillId="20" borderId="13" xfId="300" applyFont="1" applyFill="1" applyBorder="1" applyAlignment="1">
      <alignment vertical="center"/>
      <protection/>
    </xf>
    <xf numFmtId="170" fontId="0" fillId="0" borderId="45" xfId="300" applyNumberFormat="1" applyFont="1" applyBorder="1" applyAlignment="1">
      <alignment horizontal="center" vertical="center"/>
      <protection/>
    </xf>
    <xf numFmtId="171" fontId="0" fillId="24" borderId="45" xfId="582" applyNumberFormat="1" applyFont="1" applyFill="1" applyBorder="1" applyAlignment="1">
      <alignment vertical="center"/>
    </xf>
    <xf numFmtId="170" fontId="40" fillId="0" borderId="13" xfId="300" applyNumberFormat="1" applyFont="1" applyBorder="1" applyAlignment="1">
      <alignment horizontal="center" vertical="center"/>
      <protection/>
    </xf>
    <xf numFmtId="170" fontId="40" fillId="23" borderId="45" xfId="300" applyNumberFormat="1" applyFont="1" applyFill="1" applyBorder="1" applyAlignment="1">
      <alignment horizontal="center" vertical="center"/>
      <protection/>
    </xf>
    <xf numFmtId="172" fontId="0" fillId="0" borderId="13" xfId="300" applyNumberFormat="1" applyFont="1" applyBorder="1" applyAlignment="1">
      <alignment horizontal="left" vertical="center" wrapText="1" indent="1"/>
      <protection/>
    </xf>
    <xf numFmtId="0" fontId="45" fillId="20" borderId="29" xfId="300" applyFont="1" applyFill="1" applyBorder="1" applyAlignment="1">
      <alignment vertical="center"/>
      <protection/>
    </xf>
    <xf numFmtId="170" fontId="0" fillId="0" borderId="46" xfId="300" applyNumberFormat="1" applyFont="1" applyBorder="1" applyAlignment="1">
      <alignment horizontal="center" vertical="center"/>
      <protection/>
    </xf>
    <xf numFmtId="171" fontId="0" fillId="24" borderId="46" xfId="582" applyNumberFormat="1" applyFont="1" applyFill="1" applyBorder="1" applyAlignment="1">
      <alignment vertical="center"/>
    </xf>
    <xf numFmtId="170" fontId="40" fillId="0" borderId="45" xfId="300" applyNumberFormat="1" applyFont="1" applyBorder="1" applyAlignment="1">
      <alignment horizontal="center" vertical="center"/>
      <protection/>
    </xf>
    <xf numFmtId="170" fontId="40" fillId="23" borderId="46" xfId="300" applyNumberFormat="1" applyFont="1" applyFill="1" applyBorder="1" applyAlignment="1">
      <alignment horizontal="center" vertical="center"/>
      <protection/>
    </xf>
    <xf numFmtId="49" fontId="0" fillId="0" borderId="45" xfId="300" applyNumberFormat="1" applyFont="1" applyBorder="1" applyAlignment="1">
      <alignment horizontal="left" vertical="center" wrapText="1" indent="1"/>
      <protection/>
    </xf>
    <xf numFmtId="170" fontId="0" fillId="0" borderId="28" xfId="300" applyNumberFormat="1" applyFont="1" applyBorder="1" applyAlignment="1">
      <alignment horizontal="center" vertical="center"/>
      <protection/>
    </xf>
    <xf numFmtId="171" fontId="0" fillId="24" borderId="28" xfId="582" applyNumberFormat="1" applyFont="1" applyFill="1" applyBorder="1" applyAlignment="1">
      <alignment vertical="center"/>
    </xf>
    <xf numFmtId="170" fontId="0" fillId="0" borderId="47" xfId="300" applyNumberFormat="1" applyFont="1" applyBorder="1" applyAlignment="1">
      <alignment horizontal="center" vertical="center"/>
      <protection/>
    </xf>
    <xf numFmtId="170" fontId="40" fillId="0" borderId="47" xfId="300" applyNumberFormat="1" applyFont="1" applyBorder="1" applyAlignment="1">
      <alignment horizontal="center" vertical="center"/>
      <protection/>
    </xf>
    <xf numFmtId="170" fontId="40" fillId="23" borderId="28" xfId="300" applyNumberFormat="1" applyFont="1" applyFill="1" applyBorder="1" applyAlignment="1">
      <alignment horizontal="center" vertical="center"/>
      <protection/>
    </xf>
    <xf numFmtId="0" fontId="0" fillId="0" borderId="47" xfId="300" applyBorder="1">
      <alignment/>
      <protection/>
    </xf>
    <xf numFmtId="170" fontId="0" fillId="0" borderId="48" xfId="300" applyNumberFormat="1" applyFont="1" applyBorder="1" applyAlignment="1">
      <alignment horizontal="center" vertical="center"/>
      <protection/>
    </xf>
    <xf numFmtId="171" fontId="0" fillId="24" borderId="48" xfId="582" applyNumberFormat="1" applyFont="1" applyFill="1" applyBorder="1" applyAlignment="1">
      <alignment vertical="center"/>
    </xf>
    <xf numFmtId="170" fontId="0" fillId="0" borderId="49" xfId="300" applyNumberFormat="1" applyFont="1" applyBorder="1" applyAlignment="1">
      <alignment horizontal="center" vertical="center"/>
      <protection/>
    </xf>
    <xf numFmtId="170" fontId="40" fillId="0" borderId="49" xfId="300" applyNumberFormat="1" applyFont="1" applyBorder="1" applyAlignment="1">
      <alignment horizontal="center" vertical="center"/>
      <protection/>
    </xf>
    <xf numFmtId="170" fontId="40" fillId="23" borderId="48" xfId="300" applyNumberFormat="1" applyFont="1" applyFill="1" applyBorder="1" applyAlignment="1">
      <alignment horizontal="center" vertical="center"/>
      <protection/>
    </xf>
    <xf numFmtId="0" fontId="0" fillId="0" borderId="49" xfId="300" applyBorder="1">
      <alignment/>
      <protection/>
    </xf>
    <xf numFmtId="171" fontId="0" fillId="24" borderId="49" xfId="582" applyNumberFormat="1" applyFont="1" applyFill="1" applyBorder="1" applyAlignment="1">
      <alignment vertical="center"/>
    </xf>
    <xf numFmtId="170" fontId="40" fillId="23" borderId="49" xfId="300" applyNumberFormat="1" applyFont="1" applyFill="1" applyBorder="1" applyAlignment="1">
      <alignment horizontal="center" vertical="center"/>
      <protection/>
    </xf>
    <xf numFmtId="0" fontId="0" fillId="0" borderId="13" xfId="300" applyFont="1" applyBorder="1" applyAlignment="1">
      <alignment horizontal="left" indent="1"/>
      <protection/>
    </xf>
    <xf numFmtId="170" fontId="0" fillId="0" borderId="13" xfId="300" applyNumberFormat="1" applyFont="1" applyBorder="1" applyAlignment="1">
      <alignment horizontal="center" vertical="center"/>
      <protection/>
    </xf>
    <xf numFmtId="171" fontId="0" fillId="24" borderId="13" xfId="582" applyNumberFormat="1" applyFont="1" applyFill="1" applyBorder="1" applyAlignment="1">
      <alignment vertical="center"/>
    </xf>
    <xf numFmtId="170" fontId="40" fillId="23" borderId="13" xfId="300" applyNumberFormat="1" applyFont="1" applyFill="1" applyBorder="1" applyAlignment="1">
      <alignment horizontal="center" vertical="center"/>
      <protection/>
    </xf>
    <xf numFmtId="49" fontId="0" fillId="0" borderId="13" xfId="300" applyNumberFormat="1" applyFont="1" applyBorder="1" applyAlignment="1">
      <alignment horizontal="left" vertical="center" wrapText="1" indent="1"/>
      <protection/>
    </xf>
    <xf numFmtId="170" fontId="40" fillId="23" borderId="29" xfId="300" applyNumberFormat="1" applyFont="1" applyFill="1" applyBorder="1" applyAlignment="1">
      <alignment horizontal="center" vertical="center"/>
      <protection/>
    </xf>
    <xf numFmtId="0" fontId="0" fillId="0" borderId="49" xfId="300" applyFont="1" applyBorder="1" applyAlignment="1">
      <alignment horizontal="left" wrapText="1" indent="1"/>
      <protection/>
    </xf>
    <xf numFmtId="0" fontId="73" fillId="16" borderId="13" xfId="300" applyFont="1" applyFill="1" applyBorder="1" applyAlignment="1">
      <alignment horizontal="center" vertical="center" wrapText="1"/>
      <protection/>
    </xf>
    <xf numFmtId="171" fontId="73" fillId="16" borderId="13" xfId="582" applyNumberFormat="1" applyFont="1" applyFill="1" applyBorder="1" applyAlignment="1">
      <alignment horizontal="center" vertical="center" wrapText="1"/>
    </xf>
    <xf numFmtId="170" fontId="73" fillId="16" borderId="13" xfId="300" applyNumberFormat="1" applyFont="1" applyFill="1" applyBorder="1" applyAlignment="1">
      <alignment horizontal="center" vertical="center" wrapText="1"/>
      <protection/>
    </xf>
    <xf numFmtId="0" fontId="74" fillId="0" borderId="0" xfId="300" applyFont="1">
      <alignment/>
      <protection/>
    </xf>
    <xf numFmtId="0" fontId="76" fillId="0" borderId="0" xfId="300" applyFont="1">
      <alignment/>
      <protection/>
    </xf>
    <xf numFmtId="44" fontId="76" fillId="0" borderId="0" xfId="579" applyFont="1" applyAlignment="1">
      <alignment/>
    </xf>
    <xf numFmtId="44" fontId="74" fillId="0" borderId="0" xfId="579" applyFont="1" applyAlignment="1">
      <alignment/>
    </xf>
    <xf numFmtId="44" fontId="77" fillId="9" borderId="0" xfId="579" applyFont="1" applyFill="1" applyAlignment="1">
      <alignment/>
    </xf>
    <xf numFmtId="0" fontId="45" fillId="0" borderId="0" xfId="300" applyFont="1" applyAlignment="1">
      <alignment horizontal="center"/>
      <protection/>
    </xf>
    <xf numFmtId="44" fontId="77" fillId="0" borderId="0" xfId="579" applyFont="1" applyAlignment="1">
      <alignment/>
    </xf>
    <xf numFmtId="170" fontId="74" fillId="25" borderId="0" xfId="300" applyNumberFormat="1" applyFont="1" applyFill="1">
      <alignment/>
      <protection/>
    </xf>
    <xf numFmtId="170" fontId="0" fillId="0" borderId="0" xfId="300" applyNumberFormat="1">
      <alignment/>
      <protection/>
    </xf>
    <xf numFmtId="44" fontId="74" fillId="25" borderId="0" xfId="579" applyFont="1" applyFill="1" applyAlignment="1">
      <alignment/>
    </xf>
    <xf numFmtId="171" fontId="0" fillId="0" borderId="0" xfId="300" applyNumberFormat="1">
      <alignment/>
      <protection/>
    </xf>
    <xf numFmtId="10" fontId="0" fillId="0" borderId="0" xfId="466" applyNumberFormat="1" applyFont="1" applyAlignment="1">
      <alignment vertical="center"/>
    </xf>
    <xf numFmtId="167" fontId="0" fillId="24" borderId="0" xfId="0" applyNumberFormat="1" applyFill="1" applyAlignment="1">
      <alignment/>
    </xf>
    <xf numFmtId="0" fontId="20" fillId="33" borderId="10" xfId="0" applyFont="1" applyFill="1" applyBorder="1" applyAlignment="1">
      <alignment horizontal="left" vertical="center" wrapText="1" indent="1"/>
    </xf>
    <xf numFmtId="3" fontId="26" fillId="4" borderId="17" xfId="0" applyNumberFormat="1" applyFont="1" applyFill="1" applyBorder="1" applyAlignment="1">
      <alignment horizontal="center" vertical="center"/>
    </xf>
    <xf numFmtId="3" fontId="26" fillId="4" borderId="22" xfId="0" applyNumberFormat="1" applyFont="1" applyFill="1" applyBorder="1" applyAlignment="1">
      <alignment horizontal="center" vertical="center"/>
    </xf>
    <xf numFmtId="3" fontId="26" fillId="4" borderId="20" xfId="0" applyNumberFormat="1" applyFont="1" applyFill="1" applyBorder="1" applyAlignment="1">
      <alignment horizontal="center" vertical="center"/>
    </xf>
    <xf numFmtId="3" fontId="26" fillId="32" borderId="17" xfId="0" applyNumberFormat="1" applyFont="1" applyFill="1" applyBorder="1" applyAlignment="1">
      <alignment horizontal="center" vertical="center"/>
    </xf>
    <xf numFmtId="3" fontId="26" fillId="4" borderId="44" xfId="0" applyNumberFormat="1" applyFont="1" applyFill="1" applyBorder="1" applyAlignment="1">
      <alignment horizontal="center" vertical="center"/>
    </xf>
    <xf numFmtId="0" fontId="28" fillId="4" borderId="10" xfId="0" applyFont="1" applyFill="1" applyBorder="1" applyAlignment="1">
      <alignment vertical="center" wrapText="1"/>
    </xf>
    <xf numFmtId="0" fontId="28" fillId="4" borderId="40" xfId="0" applyFont="1" applyFill="1" applyBorder="1" applyAlignment="1">
      <alignment vertical="center" wrapText="1"/>
    </xf>
    <xf numFmtId="0" fontId="28" fillId="4" borderId="39" xfId="0" applyFont="1" applyFill="1" applyBorder="1" applyAlignment="1">
      <alignment horizontal="left" vertical="center" wrapText="1" indent="1"/>
    </xf>
    <xf numFmtId="0" fontId="28" fillId="4" borderId="10" xfId="0" applyFont="1" applyFill="1" applyBorder="1" applyAlignment="1">
      <alignment horizontal="left" vertical="center" wrapText="1" indent="1"/>
    </xf>
    <xf numFmtId="0" fontId="28" fillId="4" borderId="36" xfId="0" applyFont="1" applyFill="1" applyBorder="1" applyAlignment="1">
      <alignment horizontal="left" vertical="center" wrapText="1" indent="1"/>
    </xf>
    <xf numFmtId="0" fontId="28" fillId="32" borderId="10" xfId="0" applyFont="1" applyFill="1" applyBorder="1" applyAlignment="1">
      <alignment horizontal="center" vertical="center" wrapText="1"/>
    </xf>
    <xf numFmtId="0" fontId="28" fillId="32" borderId="17" xfId="0" applyFont="1" applyFill="1" applyBorder="1" applyAlignment="1">
      <alignment horizontal="left" vertical="center" wrapText="1"/>
    </xf>
    <xf numFmtId="0" fontId="28" fillId="32" borderId="20" xfId="0" applyFont="1" applyFill="1" applyBorder="1" applyAlignment="1">
      <alignment horizontal="center" vertical="center" wrapText="1"/>
    </xf>
    <xf numFmtId="3" fontId="26" fillId="32" borderId="20" xfId="0" applyNumberFormat="1" applyFont="1" applyFill="1" applyBorder="1" applyAlignment="1">
      <alignment horizontal="center" vertical="center"/>
    </xf>
    <xf numFmtId="3" fontId="26" fillId="4" borderId="38" xfId="0" applyNumberFormat="1" applyFont="1" applyFill="1" applyBorder="1" applyAlignment="1">
      <alignment horizontal="center" vertical="center"/>
    </xf>
    <xf numFmtId="0" fontId="28" fillId="4" borderId="37" xfId="0" applyFont="1" applyFill="1" applyBorder="1" applyAlignment="1">
      <alignment horizontal="left" vertical="center" wrapText="1" indent="1"/>
    </xf>
    <xf numFmtId="0" fontId="28" fillId="4" borderId="37" xfId="0" applyFont="1" applyFill="1" applyBorder="1" applyAlignment="1">
      <alignment horizontal="center" vertical="center" wrapText="1"/>
    </xf>
    <xf numFmtId="0" fontId="0" fillId="24" borderId="0" xfId="0" applyFill="1" applyAlignment="1">
      <alignment wrapText="1"/>
    </xf>
    <xf numFmtId="0" fontId="40" fillId="22" borderId="12" xfId="0" applyFont="1" applyFill="1" applyBorder="1" applyAlignment="1">
      <alignment horizontal="center" vertical="center" wrapText="1"/>
    </xf>
    <xf numFmtId="0" fontId="0" fillId="0" borderId="0" xfId="0" applyAlignment="1">
      <alignment wrapText="1"/>
    </xf>
    <xf numFmtId="43" fontId="25" fillId="22" borderId="29" xfId="188" applyFont="1" applyFill="1" applyBorder="1" applyAlignment="1">
      <alignment horizontal="center" vertical="center" wrapText="1"/>
    </xf>
    <xf numFmtId="167" fontId="25" fillId="22" borderId="12" xfId="0" applyNumberFormat="1" applyFont="1" applyFill="1" applyBorder="1" applyAlignment="1">
      <alignment horizontal="right" vertical="center"/>
    </xf>
    <xf numFmtId="167" fontId="40" fillId="25" borderId="10" xfId="0" applyNumberFormat="1" applyFont="1" applyFill="1" applyBorder="1" applyAlignment="1">
      <alignment horizontal="right" vertical="center"/>
    </xf>
    <xf numFmtId="167" fontId="0" fillId="0" borderId="0" xfId="0" applyNumberFormat="1" applyAlignment="1">
      <alignment/>
    </xf>
    <xf numFmtId="167" fontId="25" fillId="22" borderId="12" xfId="0" applyNumberFormat="1" applyFont="1" applyFill="1" applyBorder="1" applyAlignment="1">
      <alignment horizontal="center" vertical="center" wrapText="1"/>
    </xf>
    <xf numFmtId="167" fontId="26" fillId="22" borderId="12" xfId="0" applyNumberFormat="1" applyFont="1" applyFill="1" applyBorder="1" applyAlignment="1">
      <alignment horizontal="center" vertical="center" wrapText="1"/>
    </xf>
    <xf numFmtId="0" fontId="0" fillId="24" borderId="0" xfId="0" applyFill="1" applyAlignment="1">
      <alignment horizontal="center" wrapText="1"/>
    </xf>
    <xf numFmtId="0" fontId="28" fillId="24" borderId="0" xfId="0" applyFont="1" applyFill="1" applyAlignment="1">
      <alignment horizontal="right" vertical="center"/>
    </xf>
    <xf numFmtId="0" fontId="20" fillId="22" borderId="15" xfId="0" applyFont="1" applyFill="1" applyBorder="1" applyAlignment="1" applyProtection="1">
      <alignment vertical="center" wrapText="1"/>
      <protection/>
    </xf>
    <xf numFmtId="0" fontId="20" fillId="22" borderId="39" xfId="0" applyFont="1" applyFill="1" applyBorder="1" applyAlignment="1" applyProtection="1">
      <alignment vertical="center" wrapText="1"/>
      <protection/>
    </xf>
    <xf numFmtId="167" fontId="26" fillId="0" borderId="39" xfId="0" applyNumberFormat="1" applyFont="1" applyFill="1" applyBorder="1" applyAlignment="1" applyProtection="1">
      <alignment vertical="center"/>
      <protection locked="0"/>
    </xf>
    <xf numFmtId="167" fontId="26" fillId="0" borderId="10" xfId="0" applyNumberFormat="1" applyFont="1" applyFill="1" applyBorder="1" applyAlignment="1" applyProtection="1">
      <alignment vertical="center"/>
      <protection locked="0"/>
    </xf>
    <xf numFmtId="167" fontId="26" fillId="0" borderId="40" xfId="0" applyNumberFormat="1" applyFont="1" applyFill="1" applyBorder="1" applyAlignment="1" applyProtection="1">
      <alignment vertical="center"/>
      <protection locked="0"/>
    </xf>
    <xf numFmtId="167" fontId="26" fillId="0" borderId="41" xfId="0" applyNumberFormat="1" applyFont="1" applyFill="1" applyBorder="1" applyAlignment="1" applyProtection="1">
      <alignment vertical="center"/>
      <protection locked="0"/>
    </xf>
    <xf numFmtId="167" fontId="26" fillId="0" borderId="11" xfId="0" applyNumberFormat="1" applyFont="1" applyFill="1" applyBorder="1" applyAlignment="1" applyProtection="1">
      <alignment vertical="center"/>
      <protection locked="0"/>
    </xf>
    <xf numFmtId="167" fontId="26" fillId="0" borderId="17" xfId="0" applyNumberFormat="1" applyFont="1" applyFill="1" applyBorder="1" applyAlignment="1" applyProtection="1">
      <alignment vertical="center"/>
      <protection locked="0"/>
    </xf>
    <xf numFmtId="0" fontId="20" fillId="22" borderId="23" xfId="0" applyFont="1" applyFill="1" applyBorder="1" applyAlignment="1" applyProtection="1">
      <alignment horizontal="left" vertical="center" wrapText="1" indent="1"/>
      <protection/>
    </xf>
    <xf numFmtId="0" fontId="20" fillId="22" borderId="18" xfId="0" applyFont="1" applyFill="1" applyBorder="1" applyAlignment="1" applyProtection="1">
      <alignment horizontal="left" vertical="center" wrapText="1" indent="1"/>
      <protection/>
    </xf>
    <xf numFmtId="0" fontId="20" fillId="22" borderId="36" xfId="0" applyFont="1" applyFill="1" applyBorder="1" applyAlignment="1" applyProtection="1">
      <alignment horizontal="left" vertical="center" wrapText="1" indent="1"/>
      <protection/>
    </xf>
    <xf numFmtId="167" fontId="26" fillId="0" borderId="20" xfId="0" applyNumberFormat="1" applyFont="1" applyFill="1" applyBorder="1" applyAlignment="1" applyProtection="1">
      <alignment vertical="center"/>
      <protection locked="0"/>
    </xf>
    <xf numFmtId="167" fontId="26" fillId="0" borderId="22" xfId="0" applyNumberFormat="1" applyFont="1" applyFill="1" applyBorder="1" applyAlignment="1" applyProtection="1">
      <alignment vertical="center"/>
      <protection locked="0"/>
    </xf>
    <xf numFmtId="0" fontId="20" fillId="22" borderId="26" xfId="0" applyFont="1" applyFill="1" applyBorder="1" applyAlignment="1" applyProtection="1">
      <alignment horizontal="left" vertical="center" wrapText="1" indent="1"/>
      <protection/>
    </xf>
    <xf numFmtId="0" fontId="20" fillId="22" borderId="41" xfId="0" applyFont="1" applyFill="1" applyBorder="1" applyAlignment="1" applyProtection="1">
      <alignment horizontal="left" vertical="center" wrapText="1" indent="1"/>
      <protection/>
    </xf>
    <xf numFmtId="0" fontId="20" fillId="22" borderId="37" xfId="0" applyFont="1" applyFill="1" applyBorder="1" applyAlignment="1" applyProtection="1">
      <alignment horizontal="center" vertical="center" wrapText="1"/>
      <protection/>
    </xf>
    <xf numFmtId="0" fontId="20" fillId="22" borderId="33" xfId="0" applyFont="1" applyFill="1" applyBorder="1" applyAlignment="1" applyProtection="1">
      <alignment horizontal="center" vertical="center" wrapText="1"/>
      <protection/>
    </xf>
    <xf numFmtId="0" fontId="20" fillId="22" borderId="43" xfId="0" applyFont="1" applyFill="1" applyBorder="1" applyAlignment="1" applyProtection="1">
      <alignment horizontal="center" vertical="center" wrapText="1"/>
      <protection/>
    </xf>
    <xf numFmtId="0" fontId="20" fillId="22" borderId="50" xfId="0" applyFont="1" applyFill="1" applyBorder="1" applyAlignment="1" applyProtection="1">
      <alignment horizontal="left" vertical="center" wrapText="1" indent="1"/>
      <protection/>
    </xf>
    <xf numFmtId="0" fontId="28" fillId="4" borderId="18" xfId="0" applyFont="1" applyFill="1" applyBorder="1" applyAlignment="1">
      <alignment horizontal="center" vertical="center" wrapText="1"/>
    </xf>
    <xf numFmtId="0" fontId="28" fillId="4" borderId="21" xfId="0" applyFont="1" applyFill="1" applyBorder="1" applyAlignment="1">
      <alignment horizontal="center" vertical="center" wrapText="1"/>
    </xf>
    <xf numFmtId="0" fontId="28" fillId="4" borderId="39" xfId="0" applyFont="1" applyFill="1" applyBorder="1" applyAlignment="1">
      <alignment horizontal="left" vertical="center" wrapText="1" indent="1"/>
    </xf>
    <xf numFmtId="0" fontId="28" fillId="4" borderId="10" xfId="0" applyFont="1" applyFill="1" applyBorder="1" applyAlignment="1">
      <alignment horizontal="left" vertical="center" wrapText="1" indent="1"/>
    </xf>
    <xf numFmtId="0" fontId="0" fillId="4" borderId="18" xfId="0" applyFill="1" applyBorder="1" applyAlignment="1">
      <alignment horizontal="left" vertical="center" wrapText="1" indent="1"/>
    </xf>
    <xf numFmtId="0" fontId="28" fillId="4" borderId="18" xfId="0" applyFont="1" applyFill="1" applyBorder="1" applyAlignment="1">
      <alignment horizontal="left" vertical="center" wrapText="1" indent="1"/>
    </xf>
    <xf numFmtId="0" fontId="0" fillId="0" borderId="18" xfId="0" applyBorder="1" applyAlignment="1">
      <alignment horizontal="left" vertical="center" wrapText="1" indent="1"/>
    </xf>
    <xf numFmtId="0" fontId="0" fillId="0" borderId="21" xfId="0" applyBorder="1" applyAlignment="1">
      <alignment horizontal="left" vertical="center" wrapText="1" indent="1"/>
    </xf>
    <xf numFmtId="0" fontId="20" fillId="22" borderId="15" xfId="0" applyFont="1" applyFill="1" applyBorder="1" applyAlignment="1" applyProtection="1">
      <alignment horizontal="left" vertical="center" wrapText="1" indent="1"/>
      <protection/>
    </xf>
    <xf numFmtId="0" fontId="20" fillId="22" borderId="21" xfId="0" applyFont="1" applyFill="1" applyBorder="1" applyAlignment="1" applyProtection="1">
      <alignment horizontal="left" vertical="center" wrapText="1" indent="1"/>
      <protection/>
    </xf>
    <xf numFmtId="0" fontId="28" fillId="4" borderId="35" xfId="0" applyFont="1" applyFill="1" applyBorder="1" applyAlignment="1">
      <alignment horizontal="left" vertical="center" wrapText="1" indent="1"/>
    </xf>
    <xf numFmtId="0" fontId="28" fillId="4" borderId="29" xfId="0" applyFont="1" applyFill="1" applyBorder="1" applyAlignment="1">
      <alignment horizontal="left" vertical="center" wrapText="1" indent="1"/>
    </xf>
    <xf numFmtId="0" fontId="28" fillId="4" borderId="51" xfId="0" applyFont="1" applyFill="1" applyBorder="1" applyAlignment="1">
      <alignment horizontal="left" vertical="center" wrapText="1" indent="1"/>
    </xf>
    <xf numFmtId="0" fontId="28" fillId="4" borderId="15" xfId="0" applyFont="1" applyFill="1" applyBorder="1" applyAlignment="1">
      <alignment horizontal="left" vertical="center" wrapText="1" indent="1"/>
    </xf>
    <xf numFmtId="0" fontId="0" fillId="0" borderId="21" xfId="0" applyBorder="1" applyAlignment="1">
      <alignment horizontal="left" indent="1"/>
    </xf>
    <xf numFmtId="0" fontId="0" fillId="0" borderId="18" xfId="0" applyBorder="1" applyAlignment="1">
      <alignment horizontal="left" indent="1"/>
    </xf>
    <xf numFmtId="0" fontId="28" fillId="4" borderId="39" xfId="0" applyFont="1" applyFill="1" applyBorder="1" applyAlignment="1">
      <alignment horizontal="left" vertical="center" wrapText="1" indent="1"/>
    </xf>
    <xf numFmtId="0" fontId="28" fillId="4" borderId="10" xfId="0" applyFont="1" applyFill="1" applyBorder="1" applyAlignment="1">
      <alignment horizontal="left" vertical="center" wrapText="1" indent="1"/>
    </xf>
    <xf numFmtId="0" fontId="28" fillId="4" borderId="21" xfId="0" applyFont="1" applyFill="1" applyBorder="1" applyAlignment="1">
      <alignment horizontal="left" vertical="center" wrapText="1" indent="1"/>
    </xf>
    <xf numFmtId="0" fontId="28" fillId="4" borderId="15" xfId="0" applyFont="1" applyFill="1" applyBorder="1" applyAlignment="1">
      <alignment horizontal="left" vertical="center" wrapText="1" indent="1"/>
    </xf>
    <xf numFmtId="0" fontId="0" fillId="4" borderId="21" xfId="0" applyFill="1" applyBorder="1" applyAlignment="1">
      <alignment horizontal="left" vertical="center" wrapText="1" indent="1"/>
    </xf>
    <xf numFmtId="0" fontId="28" fillId="4" borderId="15" xfId="0" applyFont="1" applyFill="1" applyBorder="1" applyAlignment="1">
      <alignment horizontal="center" vertical="center" wrapText="1"/>
    </xf>
    <xf numFmtId="0" fontId="55" fillId="24" borderId="0" xfId="0" applyFont="1" applyFill="1" applyAlignment="1">
      <alignment horizontal="center" vertical="center" wrapText="1"/>
    </xf>
    <xf numFmtId="0" fontId="56" fillId="24" borderId="0" xfId="0" applyFont="1" applyFill="1" applyAlignment="1">
      <alignment vertical="center" wrapText="1"/>
    </xf>
    <xf numFmtId="0" fontId="50" fillId="24" borderId="0" xfId="0" applyFont="1" applyFill="1" applyBorder="1" applyAlignment="1">
      <alignment horizontal="center" wrapText="1"/>
    </xf>
    <xf numFmtId="0" fontId="51" fillId="24" borderId="0" xfId="0" applyFont="1" applyFill="1" applyBorder="1" applyAlignment="1">
      <alignment horizontal="center" wrapText="1"/>
    </xf>
    <xf numFmtId="0" fontId="52" fillId="24" borderId="0" xfId="0" applyFont="1" applyFill="1" applyBorder="1" applyAlignment="1">
      <alignment horizontal="center" wrapText="1"/>
    </xf>
    <xf numFmtId="0" fontId="53" fillId="24" borderId="0" xfId="0" applyFont="1" applyFill="1" applyAlignment="1">
      <alignment horizontal="center" wrapText="1"/>
    </xf>
    <xf numFmtId="0" fontId="54" fillId="24" borderId="0" xfId="0" applyFont="1" applyFill="1" applyAlignment="1">
      <alignment wrapText="1"/>
    </xf>
    <xf numFmtId="0" fontId="38" fillId="0" borderId="0" xfId="0" applyFont="1" applyAlignment="1">
      <alignment wrapText="1"/>
    </xf>
    <xf numFmtId="167" fontId="26" fillId="31" borderId="11" xfId="0" applyNumberFormat="1" applyFont="1" applyFill="1" applyBorder="1" applyAlignment="1">
      <alignment vertical="center"/>
    </xf>
    <xf numFmtId="167" fontId="26" fillId="31" borderId="33" xfId="0" applyNumberFormat="1" applyFont="1" applyFill="1" applyBorder="1" applyAlignment="1">
      <alignment vertical="center"/>
    </xf>
    <xf numFmtId="167" fontId="26" fillId="31" borderId="32" xfId="0" applyNumberFormat="1" applyFont="1" applyFill="1" applyBorder="1" applyAlignment="1">
      <alignment vertical="center"/>
    </xf>
    <xf numFmtId="0" fontId="18" fillId="22" borderId="10" xfId="0" applyFont="1" applyFill="1" applyBorder="1" applyAlignment="1">
      <alignment horizontal="center" vertical="center" wrapText="1"/>
    </xf>
    <xf numFmtId="0" fontId="28" fillId="4" borderId="26" xfId="0" applyFont="1" applyFill="1" applyBorder="1" applyAlignment="1">
      <alignment horizontal="left" vertical="center" wrapText="1" indent="1"/>
    </xf>
    <xf numFmtId="0" fontId="0" fillId="0" borderId="41" xfId="0" applyBorder="1" applyAlignment="1">
      <alignment horizontal="left" vertical="center" wrapText="1" indent="1"/>
    </xf>
    <xf numFmtId="0" fontId="28" fillId="29" borderId="15" xfId="0" applyFont="1" applyFill="1" applyBorder="1" applyAlignment="1">
      <alignment horizontal="left" vertical="center" wrapText="1" indent="1"/>
    </xf>
    <xf numFmtId="0" fontId="0" fillId="29" borderId="18" xfId="0" applyFill="1" applyBorder="1" applyAlignment="1">
      <alignment horizontal="left" indent="1"/>
    </xf>
    <xf numFmtId="0" fontId="0" fillId="29" borderId="23" xfId="0" applyFill="1" applyBorder="1" applyAlignment="1">
      <alignment horizontal="left" indent="1"/>
    </xf>
    <xf numFmtId="0" fontId="0" fillId="29" borderId="21" xfId="0" applyFill="1" applyBorder="1" applyAlignment="1">
      <alignment horizontal="left" indent="1"/>
    </xf>
    <xf numFmtId="0" fontId="28" fillId="29" borderId="39" xfId="0" applyFont="1" applyFill="1" applyBorder="1" applyAlignment="1">
      <alignment horizontal="left" vertical="center" wrapText="1" indent="1"/>
    </xf>
    <xf numFmtId="0" fontId="28" fillId="29" borderId="10" xfId="0" applyFont="1" applyFill="1" applyBorder="1" applyAlignment="1">
      <alignment horizontal="left" vertical="center" wrapText="1" indent="1"/>
    </xf>
    <xf numFmtId="0" fontId="28" fillId="4" borderId="36" xfId="0" applyFont="1" applyFill="1" applyBorder="1" applyAlignment="1">
      <alignment horizontal="left" vertical="center" wrapText="1" indent="1"/>
    </xf>
    <xf numFmtId="0" fontId="68" fillId="0" borderId="33" xfId="0" applyFont="1" applyBorder="1" applyAlignment="1">
      <alignment horizontal="center" vertical="center"/>
    </xf>
    <xf numFmtId="0" fontId="68" fillId="0" borderId="32" xfId="0" applyFont="1" applyBorder="1" applyAlignment="1">
      <alignment horizontal="center" vertical="center"/>
    </xf>
    <xf numFmtId="167" fontId="59" fillId="2" borderId="10" xfId="189" applyNumberFormat="1" applyFont="1" applyFill="1" applyBorder="1" applyAlignment="1">
      <alignment horizontal="right" vertical="center" wrapText="1"/>
    </xf>
    <xf numFmtId="10" fontId="62" fillId="2" borderId="10" xfId="466" applyNumberFormat="1" applyFont="1" applyFill="1" applyBorder="1" applyAlignment="1">
      <alignment horizontal="center" vertical="center"/>
    </xf>
    <xf numFmtId="0" fontId="0" fillId="2" borderId="10" xfId="0" applyFill="1" applyBorder="1" applyAlignment="1">
      <alignment horizontal="left" vertical="center" wrapText="1" indent="1"/>
    </xf>
    <xf numFmtId="0" fontId="0" fillId="2" borderId="11" xfId="0" applyFill="1" applyBorder="1" applyAlignment="1">
      <alignment vertical="center" wrapText="1"/>
    </xf>
    <xf numFmtId="0" fontId="0" fillId="2" borderId="33" xfId="0" applyFill="1" applyBorder="1" applyAlignment="1">
      <alignment vertical="center" wrapText="1"/>
    </xf>
    <xf numFmtId="0" fontId="0" fillId="2" borderId="32" xfId="0" applyFill="1" applyBorder="1" applyAlignment="1">
      <alignment vertical="center" wrapText="1"/>
    </xf>
    <xf numFmtId="0" fontId="0" fillId="2" borderId="10" xfId="0" applyFill="1" applyBorder="1" applyAlignment="1">
      <alignment horizontal="center" vertical="center" wrapText="1"/>
    </xf>
    <xf numFmtId="10" fontId="67" fillId="2" borderId="33" xfId="189" applyNumberFormat="1" applyFont="1" applyFill="1" applyBorder="1" applyAlignment="1">
      <alignment horizontal="center" vertical="center"/>
    </xf>
    <xf numFmtId="0" fontId="0" fillId="2" borderId="10" xfId="0" applyFont="1" applyFill="1" applyBorder="1" applyAlignment="1">
      <alignment vertical="center" wrapText="1"/>
    </xf>
    <xf numFmtId="167" fontId="65" fillId="0" borderId="32" xfId="0" applyNumberFormat="1" applyFont="1" applyBorder="1" applyAlignment="1">
      <alignment horizontal="center" vertical="center"/>
    </xf>
    <xf numFmtId="10" fontId="61" fillId="20" borderId="32" xfId="189" applyNumberFormat="1" applyFont="1" applyFill="1" applyBorder="1" applyAlignment="1">
      <alignment horizontal="center" vertical="center"/>
    </xf>
    <xf numFmtId="10" fontId="61" fillId="2" borderId="10" xfId="466" applyNumberFormat="1" applyFont="1" applyFill="1" applyBorder="1" applyAlignment="1">
      <alignment horizontal="center" vertical="center"/>
    </xf>
    <xf numFmtId="167" fontId="64" fillId="2" borderId="33" xfId="466" applyNumberFormat="1" applyFont="1" applyFill="1" applyBorder="1" applyAlignment="1">
      <alignment horizontal="center" vertical="center"/>
    </xf>
    <xf numFmtId="167" fontId="59" fillId="2" borderId="11" xfId="189" applyNumberFormat="1" applyFont="1" applyFill="1" applyBorder="1" applyAlignment="1">
      <alignment horizontal="right" vertical="center" wrapText="1"/>
    </xf>
    <xf numFmtId="167" fontId="59" fillId="2" borderId="32" xfId="189" applyNumberFormat="1" applyFont="1" applyFill="1" applyBorder="1" applyAlignment="1">
      <alignment horizontal="right" vertical="center" wrapText="1"/>
    </xf>
    <xf numFmtId="167" fontId="65" fillId="0" borderId="33" xfId="0" applyNumberFormat="1" applyFont="1" applyBorder="1" applyAlignment="1">
      <alignment horizontal="center" vertical="center"/>
    </xf>
    <xf numFmtId="10" fontId="61" fillId="2" borderId="11" xfId="189" applyNumberFormat="1" applyFont="1" applyFill="1" applyBorder="1" applyAlignment="1">
      <alignment horizontal="center" vertical="center" wrapText="1"/>
    </xf>
    <xf numFmtId="10" fontId="66" fillId="0" borderId="33" xfId="0" applyNumberFormat="1" applyFont="1" applyBorder="1" applyAlignment="1">
      <alignment horizontal="center" vertical="center" wrapText="1"/>
    </xf>
    <xf numFmtId="10" fontId="66" fillId="0" borderId="32" xfId="0" applyNumberFormat="1" applyFont="1" applyBorder="1" applyAlignment="1">
      <alignment horizontal="center" vertical="center" wrapText="1"/>
    </xf>
    <xf numFmtId="167" fontId="59" fillId="2" borderId="33" xfId="189" applyNumberFormat="1" applyFont="1" applyFill="1" applyBorder="1" applyAlignment="1">
      <alignment horizontal="right" vertical="center" wrapText="1"/>
    </xf>
    <xf numFmtId="0" fontId="0" fillId="2" borderId="10" xfId="0" applyFont="1" applyFill="1" applyBorder="1" applyAlignment="1">
      <alignment horizontal="left" vertical="center" wrapText="1" indent="1"/>
    </xf>
    <xf numFmtId="0" fontId="15" fillId="0" borderId="46" xfId="301" applyFont="1" applyBorder="1" applyAlignment="1">
      <alignment horizontal="center"/>
      <protection/>
    </xf>
    <xf numFmtId="0" fontId="15" fillId="0" borderId="52" xfId="301" applyFont="1" applyBorder="1" applyAlignment="1">
      <alignment horizontal="center"/>
      <protection/>
    </xf>
    <xf numFmtId="0" fontId="15" fillId="0" borderId="53" xfId="301" applyFont="1" applyBorder="1" applyAlignment="1">
      <alignment horizontal="center"/>
      <protection/>
    </xf>
    <xf numFmtId="0" fontId="43" fillId="0" borderId="28" xfId="97" applyBorder="1" applyAlignment="1" applyProtection="1">
      <alignment horizontal="center" wrapText="1"/>
      <protection/>
    </xf>
    <xf numFmtId="0" fontId="1" fillId="0" borderId="28" xfId="301" applyBorder="1" applyAlignment="1">
      <alignment horizontal="center" wrapText="1"/>
      <protection/>
    </xf>
    <xf numFmtId="0" fontId="0" fillId="25" borderId="0" xfId="300" applyFill="1" applyBorder="1" applyAlignment="1">
      <alignment horizontal="center"/>
      <protection/>
    </xf>
    <xf numFmtId="0" fontId="0" fillId="25" borderId="14" xfId="300" applyFill="1" applyBorder="1" applyAlignment="1">
      <alignment horizontal="center"/>
      <protection/>
    </xf>
    <xf numFmtId="0" fontId="0" fillId="25" borderId="0" xfId="300" applyFill="1" applyAlignment="1">
      <alignment horizontal="center"/>
      <protection/>
    </xf>
  </cellXfs>
  <cellStyles count="59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olo 10" xfId="40"/>
    <cellStyle name="Calcolo 11" xfId="41"/>
    <cellStyle name="Calcolo 12" xfId="42"/>
    <cellStyle name="Calcolo 13" xfId="43"/>
    <cellStyle name="Calcolo 14" xfId="44"/>
    <cellStyle name="Calcolo 15" xfId="45"/>
    <cellStyle name="Calcolo 16" xfId="46"/>
    <cellStyle name="Calcolo 17" xfId="47"/>
    <cellStyle name="Calcolo 18" xfId="48"/>
    <cellStyle name="Calcolo 19" xfId="49"/>
    <cellStyle name="Calcolo 2" xfId="50"/>
    <cellStyle name="Calcolo 2 10" xfId="51"/>
    <cellStyle name="Calcolo 2 11" xfId="52"/>
    <cellStyle name="Calcolo 2 12" xfId="53"/>
    <cellStyle name="Calcolo 2 13" xfId="54"/>
    <cellStyle name="Calcolo 2 14" xfId="55"/>
    <cellStyle name="Calcolo 2 15" xfId="56"/>
    <cellStyle name="Calcolo 2 16" xfId="57"/>
    <cellStyle name="Calcolo 2 17" xfId="58"/>
    <cellStyle name="Calcolo 2 18" xfId="59"/>
    <cellStyle name="Calcolo 2 19" xfId="60"/>
    <cellStyle name="Calcolo 2 2" xfId="61"/>
    <cellStyle name="Calcolo 2 20" xfId="62"/>
    <cellStyle name="Calcolo 2 21" xfId="63"/>
    <cellStyle name="Calcolo 2 22" xfId="64"/>
    <cellStyle name="Calcolo 2 23" xfId="65"/>
    <cellStyle name="Calcolo 2 24" xfId="66"/>
    <cellStyle name="Calcolo 2 25" xfId="67"/>
    <cellStyle name="Calcolo 2 26" xfId="68"/>
    <cellStyle name="Calcolo 2 27" xfId="69"/>
    <cellStyle name="Calcolo 2 3" xfId="70"/>
    <cellStyle name="Calcolo 2 4" xfId="71"/>
    <cellStyle name="Calcolo 2 5" xfId="72"/>
    <cellStyle name="Calcolo 2 6" xfId="73"/>
    <cellStyle name="Calcolo 2 7" xfId="74"/>
    <cellStyle name="Calcolo 2 8" xfId="75"/>
    <cellStyle name="Calcolo 2 9" xfId="76"/>
    <cellStyle name="Calcolo 20" xfId="77"/>
    <cellStyle name="Calcolo 21" xfId="78"/>
    <cellStyle name="Calcolo 22" xfId="79"/>
    <cellStyle name="Calcolo 23" xfId="80"/>
    <cellStyle name="Calcolo 24" xfId="81"/>
    <cellStyle name="Calcolo 25" xfId="82"/>
    <cellStyle name="Calcolo 26" xfId="83"/>
    <cellStyle name="Calcolo 27" xfId="84"/>
    <cellStyle name="Calcolo 28" xfId="85"/>
    <cellStyle name="Calcolo 29" xfId="86"/>
    <cellStyle name="Calcolo 3" xfId="87"/>
    <cellStyle name="Calcolo 4" xfId="88"/>
    <cellStyle name="Calcolo 5" xfId="89"/>
    <cellStyle name="Calcolo 6" xfId="90"/>
    <cellStyle name="Calcolo 7" xfId="91"/>
    <cellStyle name="Calcolo 8" xfId="92"/>
    <cellStyle name="Calcolo 9" xfId="93"/>
    <cellStyle name="Calculation" xfId="94"/>
    <cellStyle name="Check Cell" xfId="95"/>
    <cellStyle name="Hyperlink" xfId="96"/>
    <cellStyle name="Collegamento ipertestuale 2" xfId="97"/>
    <cellStyle name="Euro" xfId="98"/>
    <cellStyle name="Euro 2" xfId="99"/>
    <cellStyle name="Euro 2 10" xfId="100"/>
    <cellStyle name="Euro 2 11" xfId="101"/>
    <cellStyle name="Euro 2 12" xfId="102"/>
    <cellStyle name="Euro 2 13" xfId="103"/>
    <cellStyle name="Euro 2 14" xfId="104"/>
    <cellStyle name="Euro 2 15" xfId="105"/>
    <cellStyle name="Euro 2 16" xfId="106"/>
    <cellStyle name="Euro 2 17" xfId="107"/>
    <cellStyle name="Euro 2 18" xfId="108"/>
    <cellStyle name="Euro 2 19" xfId="109"/>
    <cellStyle name="Euro 2 2" xfId="110"/>
    <cellStyle name="Euro 2 20" xfId="111"/>
    <cellStyle name="Euro 2 21" xfId="112"/>
    <cellStyle name="Euro 2 22" xfId="113"/>
    <cellStyle name="Euro 2 23" xfId="114"/>
    <cellStyle name="Euro 2 24" xfId="115"/>
    <cellStyle name="Euro 2 25" xfId="116"/>
    <cellStyle name="Euro 2 26" xfId="117"/>
    <cellStyle name="Euro 2 27" xfId="118"/>
    <cellStyle name="Euro 2 3" xfId="119"/>
    <cellStyle name="Euro 2 4" xfId="120"/>
    <cellStyle name="Euro 2 5" xfId="121"/>
    <cellStyle name="Euro 2 6" xfId="122"/>
    <cellStyle name="Euro 2 7" xfId="123"/>
    <cellStyle name="Euro 2 8" xfId="124"/>
    <cellStyle name="Euro 2 9" xfId="125"/>
    <cellStyle name="Explanatory Text" xfId="126"/>
    <cellStyle name="Good" xfId="127"/>
    <cellStyle name="Heading 1" xfId="128"/>
    <cellStyle name="Heading 2" xfId="129"/>
    <cellStyle name="Heading 3" xfId="130"/>
    <cellStyle name="Heading 4" xfId="131"/>
    <cellStyle name="Input" xfId="132"/>
    <cellStyle name="Input 10" xfId="133"/>
    <cellStyle name="Input 11" xfId="134"/>
    <cellStyle name="Input 12" xfId="135"/>
    <cellStyle name="Input 13" xfId="136"/>
    <cellStyle name="Input 14" xfId="137"/>
    <cellStyle name="Input 15" xfId="138"/>
    <cellStyle name="Input 16" xfId="139"/>
    <cellStyle name="Input 17" xfId="140"/>
    <cellStyle name="Input 18" xfId="141"/>
    <cellStyle name="Input 19" xfId="142"/>
    <cellStyle name="Input 2" xfId="143"/>
    <cellStyle name="Input 2 10" xfId="144"/>
    <cellStyle name="Input 2 11" xfId="145"/>
    <cellStyle name="Input 2 12" xfId="146"/>
    <cellStyle name="Input 2 13" xfId="147"/>
    <cellStyle name="Input 2 14" xfId="148"/>
    <cellStyle name="Input 2 15" xfId="149"/>
    <cellStyle name="Input 2 16" xfId="150"/>
    <cellStyle name="Input 2 17" xfId="151"/>
    <cellStyle name="Input 2 18" xfId="152"/>
    <cellStyle name="Input 2 19" xfId="153"/>
    <cellStyle name="Input 2 2" xfId="154"/>
    <cellStyle name="Input 2 20" xfId="155"/>
    <cellStyle name="Input 2 21" xfId="156"/>
    <cellStyle name="Input 2 22" xfId="157"/>
    <cellStyle name="Input 2 23" xfId="158"/>
    <cellStyle name="Input 2 24" xfId="159"/>
    <cellStyle name="Input 2 25" xfId="160"/>
    <cellStyle name="Input 2 26" xfId="161"/>
    <cellStyle name="Input 2 27" xfId="162"/>
    <cellStyle name="Input 2 3" xfId="163"/>
    <cellStyle name="Input 2 4" xfId="164"/>
    <cellStyle name="Input 2 5" xfId="165"/>
    <cellStyle name="Input 2 6" xfId="166"/>
    <cellStyle name="Input 2 7" xfId="167"/>
    <cellStyle name="Input 2 8" xfId="168"/>
    <cellStyle name="Input 2 9" xfId="169"/>
    <cellStyle name="Input 20" xfId="170"/>
    <cellStyle name="Input 21" xfId="171"/>
    <cellStyle name="Input 22" xfId="172"/>
    <cellStyle name="Input 23" xfId="173"/>
    <cellStyle name="Input 24" xfId="174"/>
    <cellStyle name="Input 25" xfId="175"/>
    <cellStyle name="Input 26" xfId="176"/>
    <cellStyle name="Input 27" xfId="177"/>
    <cellStyle name="Input 28" xfId="178"/>
    <cellStyle name="Input 29" xfId="179"/>
    <cellStyle name="Input 3" xfId="180"/>
    <cellStyle name="Input 4" xfId="181"/>
    <cellStyle name="Input 5" xfId="182"/>
    <cellStyle name="Input 6" xfId="183"/>
    <cellStyle name="Input 7" xfId="184"/>
    <cellStyle name="Input 8" xfId="185"/>
    <cellStyle name="Input 9" xfId="186"/>
    <cellStyle name="Linked Cell" xfId="187"/>
    <cellStyle name="Comma" xfId="188"/>
    <cellStyle name="Comma [0]" xfId="189"/>
    <cellStyle name="Migliaia [0] 2" xfId="190"/>
    <cellStyle name="Migliaia [0] 2 10" xfId="191"/>
    <cellStyle name="Migliaia [0] 2 11" xfId="192"/>
    <cellStyle name="Migliaia [0] 2 12" xfId="193"/>
    <cellStyle name="Migliaia [0] 2 13" xfId="194"/>
    <cellStyle name="Migliaia [0] 2 14" xfId="195"/>
    <cellStyle name="Migliaia [0] 2 15" xfId="196"/>
    <cellStyle name="Migliaia [0] 2 16" xfId="197"/>
    <cellStyle name="Migliaia [0] 2 17" xfId="198"/>
    <cellStyle name="Migliaia [0] 2 18" xfId="199"/>
    <cellStyle name="Migliaia [0] 2 19" xfId="200"/>
    <cellStyle name="Migliaia [0] 2 2" xfId="201"/>
    <cellStyle name="Migliaia [0] 2 20" xfId="202"/>
    <cellStyle name="Migliaia [0] 2 21" xfId="203"/>
    <cellStyle name="Migliaia [0] 2 22" xfId="204"/>
    <cellStyle name="Migliaia [0] 2 23" xfId="205"/>
    <cellStyle name="Migliaia [0] 2 24" xfId="206"/>
    <cellStyle name="Migliaia [0] 2 25" xfId="207"/>
    <cellStyle name="Migliaia [0] 2 26" xfId="208"/>
    <cellStyle name="Migliaia [0] 2 27" xfId="209"/>
    <cellStyle name="Migliaia [0] 2 3" xfId="210"/>
    <cellStyle name="Migliaia [0] 2 4" xfId="211"/>
    <cellStyle name="Migliaia [0] 2 5" xfId="212"/>
    <cellStyle name="Migliaia [0] 2 6" xfId="213"/>
    <cellStyle name="Migliaia [0] 2 7" xfId="214"/>
    <cellStyle name="Migliaia [0] 2 8" xfId="215"/>
    <cellStyle name="Migliaia [0] 2 9" xfId="216"/>
    <cellStyle name="Migliaia 2" xfId="217"/>
    <cellStyle name="Migliaia 2 10" xfId="218"/>
    <cellStyle name="Migliaia 2 11" xfId="219"/>
    <cellStyle name="Migliaia 2 12" xfId="220"/>
    <cellStyle name="Migliaia 2 13" xfId="221"/>
    <cellStyle name="Migliaia 2 14" xfId="222"/>
    <cellStyle name="Migliaia 2 15" xfId="223"/>
    <cellStyle name="Migliaia 2 16" xfId="224"/>
    <cellStyle name="Migliaia 2 17" xfId="225"/>
    <cellStyle name="Migliaia 2 18" xfId="226"/>
    <cellStyle name="Migliaia 2 19" xfId="227"/>
    <cellStyle name="Migliaia 2 2" xfId="228"/>
    <cellStyle name="Migliaia 2 20" xfId="229"/>
    <cellStyle name="Migliaia 2 21" xfId="230"/>
    <cellStyle name="Migliaia 2 22" xfId="231"/>
    <cellStyle name="Migliaia 2 23" xfId="232"/>
    <cellStyle name="Migliaia 2 24" xfId="233"/>
    <cellStyle name="Migliaia 2 25" xfId="234"/>
    <cellStyle name="Migliaia 2 26" xfId="235"/>
    <cellStyle name="Migliaia 2 27" xfId="236"/>
    <cellStyle name="Migliaia 2 3" xfId="237"/>
    <cellStyle name="Migliaia 2 4" xfId="238"/>
    <cellStyle name="Migliaia 2 5" xfId="239"/>
    <cellStyle name="Migliaia 2 6" xfId="240"/>
    <cellStyle name="Migliaia 2 7" xfId="241"/>
    <cellStyle name="Migliaia 2 8" xfId="242"/>
    <cellStyle name="Migliaia 2 9" xfId="243"/>
    <cellStyle name="Migliaia 3" xfId="244"/>
    <cellStyle name="Migliaia 3 10" xfId="245"/>
    <cellStyle name="Migliaia 3 11" xfId="246"/>
    <cellStyle name="Migliaia 3 12" xfId="247"/>
    <cellStyle name="Migliaia 3 13" xfId="248"/>
    <cellStyle name="Migliaia 3 14" xfId="249"/>
    <cellStyle name="Migliaia 3 15" xfId="250"/>
    <cellStyle name="Migliaia 3 16" xfId="251"/>
    <cellStyle name="Migliaia 3 17" xfId="252"/>
    <cellStyle name="Migliaia 3 18" xfId="253"/>
    <cellStyle name="Migliaia 3 19" xfId="254"/>
    <cellStyle name="Migliaia 3 2" xfId="255"/>
    <cellStyle name="Migliaia 3 20" xfId="256"/>
    <cellStyle name="Migliaia 3 21" xfId="257"/>
    <cellStyle name="Migliaia 3 22" xfId="258"/>
    <cellStyle name="Migliaia 3 23" xfId="259"/>
    <cellStyle name="Migliaia 3 24" xfId="260"/>
    <cellStyle name="Migliaia 3 25" xfId="261"/>
    <cellStyle name="Migliaia 3 26" xfId="262"/>
    <cellStyle name="Migliaia 3 27" xfId="263"/>
    <cellStyle name="Migliaia 3 3" xfId="264"/>
    <cellStyle name="Migliaia 3 4" xfId="265"/>
    <cellStyle name="Migliaia 3 5" xfId="266"/>
    <cellStyle name="Migliaia 3 6" xfId="267"/>
    <cellStyle name="Migliaia 3 7" xfId="268"/>
    <cellStyle name="Migliaia 3 8" xfId="269"/>
    <cellStyle name="Migliaia 3 9" xfId="270"/>
    <cellStyle name="Migliaia 4" xfId="271"/>
    <cellStyle name="Migliaia 4 10" xfId="272"/>
    <cellStyle name="Migliaia 4 11" xfId="273"/>
    <cellStyle name="Migliaia 4 12" xfId="274"/>
    <cellStyle name="Migliaia 4 13" xfId="275"/>
    <cellStyle name="Migliaia 4 14" xfId="276"/>
    <cellStyle name="Migliaia 4 15" xfId="277"/>
    <cellStyle name="Migliaia 4 16" xfId="278"/>
    <cellStyle name="Migliaia 4 17" xfId="279"/>
    <cellStyle name="Migliaia 4 18" xfId="280"/>
    <cellStyle name="Migliaia 4 19" xfId="281"/>
    <cellStyle name="Migliaia 4 2" xfId="282"/>
    <cellStyle name="Migliaia 4 20" xfId="283"/>
    <cellStyle name="Migliaia 4 21" xfId="284"/>
    <cellStyle name="Migliaia 4 22" xfId="285"/>
    <cellStyle name="Migliaia 4 23" xfId="286"/>
    <cellStyle name="Migliaia 4 24" xfId="287"/>
    <cellStyle name="Migliaia 4 25" xfId="288"/>
    <cellStyle name="Migliaia 4 26" xfId="289"/>
    <cellStyle name="Migliaia 4 27" xfId="290"/>
    <cellStyle name="Migliaia 4 3" xfId="291"/>
    <cellStyle name="Migliaia 4 4" xfId="292"/>
    <cellStyle name="Migliaia 4 5" xfId="293"/>
    <cellStyle name="Migliaia 4 6" xfId="294"/>
    <cellStyle name="Migliaia 4 7" xfId="295"/>
    <cellStyle name="Migliaia 4 8" xfId="296"/>
    <cellStyle name="Migliaia 4 9" xfId="297"/>
    <cellStyle name="Migliaia 5" xfId="298"/>
    <cellStyle name="Neutral" xfId="299"/>
    <cellStyle name="Normale 2" xfId="300"/>
    <cellStyle name="Normale 3" xfId="301"/>
    <cellStyle name="Normale 3 10" xfId="302"/>
    <cellStyle name="Normale 3 11" xfId="303"/>
    <cellStyle name="Normale 3 12" xfId="304"/>
    <cellStyle name="Normale 3 13" xfId="305"/>
    <cellStyle name="Normale 3 14" xfId="306"/>
    <cellStyle name="Normale 3 15" xfId="307"/>
    <cellStyle name="Normale 3 16" xfId="308"/>
    <cellStyle name="Normale 3 17" xfId="309"/>
    <cellStyle name="Normale 3 18" xfId="310"/>
    <cellStyle name="Normale 3 19" xfId="311"/>
    <cellStyle name="Normale 3 2" xfId="312"/>
    <cellStyle name="Normale 3 20" xfId="313"/>
    <cellStyle name="Normale 3 21" xfId="314"/>
    <cellStyle name="Normale 3 22" xfId="315"/>
    <cellStyle name="Normale 3 23" xfId="316"/>
    <cellStyle name="Normale 3 24" xfId="317"/>
    <cellStyle name="Normale 3 25" xfId="318"/>
    <cellStyle name="Normale 3 26" xfId="319"/>
    <cellStyle name="Normale 3 27" xfId="320"/>
    <cellStyle name="Normale 3 3" xfId="321"/>
    <cellStyle name="Normale 3 4" xfId="322"/>
    <cellStyle name="Normale 3 5" xfId="323"/>
    <cellStyle name="Normale 3 6" xfId="324"/>
    <cellStyle name="Normale 3 7" xfId="325"/>
    <cellStyle name="Normale 3 8" xfId="326"/>
    <cellStyle name="Normale 3 9" xfId="327"/>
    <cellStyle name="Normale_Foglio1" xfId="328"/>
    <cellStyle name="Nota 10" xfId="329"/>
    <cellStyle name="Nota 11" xfId="330"/>
    <cellStyle name="Nota 12" xfId="331"/>
    <cellStyle name="Nota 13" xfId="332"/>
    <cellStyle name="Nota 14" xfId="333"/>
    <cellStyle name="Nota 15" xfId="334"/>
    <cellStyle name="Nota 16" xfId="335"/>
    <cellStyle name="Nota 17" xfId="336"/>
    <cellStyle name="Nota 18" xfId="337"/>
    <cellStyle name="Nota 19" xfId="338"/>
    <cellStyle name="Nota 2" xfId="339"/>
    <cellStyle name="Nota 2 10" xfId="340"/>
    <cellStyle name="Nota 2 11" xfId="341"/>
    <cellStyle name="Nota 2 12" xfId="342"/>
    <cellStyle name="Nota 2 13" xfId="343"/>
    <cellStyle name="Nota 2 14" xfId="344"/>
    <cellStyle name="Nota 2 15" xfId="345"/>
    <cellStyle name="Nota 2 16" xfId="346"/>
    <cellStyle name="Nota 2 17" xfId="347"/>
    <cellStyle name="Nota 2 18" xfId="348"/>
    <cellStyle name="Nota 2 19" xfId="349"/>
    <cellStyle name="Nota 2 2" xfId="350"/>
    <cellStyle name="Nota 2 20" xfId="351"/>
    <cellStyle name="Nota 2 21" xfId="352"/>
    <cellStyle name="Nota 2 22" xfId="353"/>
    <cellStyle name="Nota 2 23" xfId="354"/>
    <cellStyle name="Nota 2 24" xfId="355"/>
    <cellStyle name="Nota 2 25" xfId="356"/>
    <cellStyle name="Nota 2 26" xfId="357"/>
    <cellStyle name="Nota 2 27" xfId="358"/>
    <cellStyle name="Nota 2 3" xfId="359"/>
    <cellStyle name="Nota 2 4" xfId="360"/>
    <cellStyle name="Nota 2 5" xfId="361"/>
    <cellStyle name="Nota 2 6" xfId="362"/>
    <cellStyle name="Nota 2 7" xfId="363"/>
    <cellStyle name="Nota 2 8" xfId="364"/>
    <cellStyle name="Nota 2 9" xfId="365"/>
    <cellStyle name="Nota 20" xfId="366"/>
    <cellStyle name="Nota 21" xfId="367"/>
    <cellStyle name="Nota 22" xfId="368"/>
    <cellStyle name="Nota 23" xfId="369"/>
    <cellStyle name="Nota 24" xfId="370"/>
    <cellStyle name="Nota 25" xfId="371"/>
    <cellStyle name="Nota 26" xfId="372"/>
    <cellStyle name="Nota 27" xfId="373"/>
    <cellStyle name="Nota 28" xfId="374"/>
    <cellStyle name="Nota 29" xfId="375"/>
    <cellStyle name="Nota 3" xfId="376"/>
    <cellStyle name="Nota 3 10" xfId="377"/>
    <cellStyle name="Nota 3 11" xfId="378"/>
    <cellStyle name="Nota 3 12" xfId="379"/>
    <cellStyle name="Nota 3 13" xfId="380"/>
    <cellStyle name="Nota 3 14" xfId="381"/>
    <cellStyle name="Nota 3 15" xfId="382"/>
    <cellStyle name="Nota 3 16" xfId="383"/>
    <cellStyle name="Nota 3 17" xfId="384"/>
    <cellStyle name="Nota 3 18" xfId="385"/>
    <cellStyle name="Nota 3 19" xfId="386"/>
    <cellStyle name="Nota 3 2" xfId="387"/>
    <cellStyle name="Nota 3 20" xfId="388"/>
    <cellStyle name="Nota 3 21" xfId="389"/>
    <cellStyle name="Nota 3 22" xfId="390"/>
    <cellStyle name="Nota 3 23" xfId="391"/>
    <cellStyle name="Nota 3 24" xfId="392"/>
    <cellStyle name="Nota 3 25" xfId="393"/>
    <cellStyle name="Nota 3 26" xfId="394"/>
    <cellStyle name="Nota 3 27" xfId="395"/>
    <cellStyle name="Nota 3 3" xfId="396"/>
    <cellStyle name="Nota 3 4" xfId="397"/>
    <cellStyle name="Nota 3 5" xfId="398"/>
    <cellStyle name="Nota 3 6" xfId="399"/>
    <cellStyle name="Nota 3 7" xfId="400"/>
    <cellStyle name="Nota 3 8" xfId="401"/>
    <cellStyle name="Nota 3 9" xfId="402"/>
    <cellStyle name="Nota 30" xfId="403"/>
    <cellStyle name="Nota 4" xfId="404"/>
    <cellStyle name="Nota 5" xfId="405"/>
    <cellStyle name="Nota 6" xfId="406"/>
    <cellStyle name="Nota 7" xfId="407"/>
    <cellStyle name="Nota 8" xfId="408"/>
    <cellStyle name="Nota 9" xfId="409"/>
    <cellStyle name="Note" xfId="410"/>
    <cellStyle name="Output" xfId="411"/>
    <cellStyle name="Output 10" xfId="412"/>
    <cellStyle name="Output 11" xfId="413"/>
    <cellStyle name="Output 12" xfId="414"/>
    <cellStyle name="Output 13" xfId="415"/>
    <cellStyle name="Output 14" xfId="416"/>
    <cellStyle name="Output 15" xfId="417"/>
    <cellStyle name="Output 16" xfId="418"/>
    <cellStyle name="Output 17" xfId="419"/>
    <cellStyle name="Output 18" xfId="420"/>
    <cellStyle name="Output 19" xfId="421"/>
    <cellStyle name="Output 2" xfId="422"/>
    <cellStyle name="Output 2 10" xfId="423"/>
    <cellStyle name="Output 2 11" xfId="424"/>
    <cellStyle name="Output 2 12" xfId="425"/>
    <cellStyle name="Output 2 13" xfId="426"/>
    <cellStyle name="Output 2 14" xfId="427"/>
    <cellStyle name="Output 2 15" xfId="428"/>
    <cellStyle name="Output 2 16" xfId="429"/>
    <cellStyle name="Output 2 17" xfId="430"/>
    <cellStyle name="Output 2 18" xfId="431"/>
    <cellStyle name="Output 2 19" xfId="432"/>
    <cellStyle name="Output 2 2" xfId="433"/>
    <cellStyle name="Output 2 20" xfId="434"/>
    <cellStyle name="Output 2 21" xfId="435"/>
    <cellStyle name="Output 2 22" xfId="436"/>
    <cellStyle name="Output 2 23" xfId="437"/>
    <cellStyle name="Output 2 24" xfId="438"/>
    <cellStyle name="Output 2 25" xfId="439"/>
    <cellStyle name="Output 2 26" xfId="440"/>
    <cellStyle name="Output 2 27" xfId="441"/>
    <cellStyle name="Output 2 3" xfId="442"/>
    <cellStyle name="Output 2 4" xfId="443"/>
    <cellStyle name="Output 2 5" xfId="444"/>
    <cellStyle name="Output 2 6" xfId="445"/>
    <cellStyle name="Output 2 7" xfId="446"/>
    <cellStyle name="Output 2 8" xfId="447"/>
    <cellStyle name="Output 2 9" xfId="448"/>
    <cellStyle name="Output 20" xfId="449"/>
    <cellStyle name="Output 21" xfId="450"/>
    <cellStyle name="Output 22" xfId="451"/>
    <cellStyle name="Output 23" xfId="452"/>
    <cellStyle name="Output 24" xfId="453"/>
    <cellStyle name="Output 25" xfId="454"/>
    <cellStyle name="Output 26" xfId="455"/>
    <cellStyle name="Output 27" xfId="456"/>
    <cellStyle name="Output 28" xfId="457"/>
    <cellStyle name="Output 29" xfId="458"/>
    <cellStyle name="Output 3" xfId="459"/>
    <cellStyle name="Output 4" xfId="460"/>
    <cellStyle name="Output 5" xfId="461"/>
    <cellStyle name="Output 6" xfId="462"/>
    <cellStyle name="Output 7" xfId="463"/>
    <cellStyle name="Output 8" xfId="464"/>
    <cellStyle name="Output 9" xfId="465"/>
    <cellStyle name="Percent" xfId="466"/>
    <cellStyle name="Percentuale 2" xfId="467"/>
    <cellStyle name="Percentuale 2 10" xfId="468"/>
    <cellStyle name="Percentuale 2 11" xfId="469"/>
    <cellStyle name="Percentuale 2 12" xfId="470"/>
    <cellStyle name="Percentuale 2 13" xfId="471"/>
    <cellStyle name="Percentuale 2 14" xfId="472"/>
    <cellStyle name="Percentuale 2 15" xfId="473"/>
    <cellStyle name="Percentuale 2 16" xfId="474"/>
    <cellStyle name="Percentuale 2 17" xfId="475"/>
    <cellStyle name="Percentuale 2 18" xfId="476"/>
    <cellStyle name="Percentuale 2 19" xfId="477"/>
    <cellStyle name="Percentuale 2 2" xfId="478"/>
    <cellStyle name="Percentuale 2 20" xfId="479"/>
    <cellStyle name="Percentuale 2 21" xfId="480"/>
    <cellStyle name="Percentuale 2 22" xfId="481"/>
    <cellStyle name="Percentuale 2 23" xfId="482"/>
    <cellStyle name="Percentuale 2 24" xfId="483"/>
    <cellStyle name="Percentuale 2 25" xfId="484"/>
    <cellStyle name="Percentuale 2 26" xfId="485"/>
    <cellStyle name="Percentuale 2 27" xfId="486"/>
    <cellStyle name="Percentuale 2 3" xfId="487"/>
    <cellStyle name="Percentuale 2 4" xfId="488"/>
    <cellStyle name="Percentuale 2 5" xfId="489"/>
    <cellStyle name="Percentuale 2 6" xfId="490"/>
    <cellStyle name="Percentuale 2 7" xfId="491"/>
    <cellStyle name="Percentuale 2 8" xfId="492"/>
    <cellStyle name="Percentuale 2 9" xfId="493"/>
    <cellStyle name="Percentuale 3" xfId="494"/>
    <cellStyle name="Percentuale 4" xfId="495"/>
    <cellStyle name="Title" xfId="496"/>
    <cellStyle name="Titolo 3 10" xfId="497"/>
    <cellStyle name="Titolo 3 11" xfId="498"/>
    <cellStyle name="Titolo 3 12" xfId="499"/>
    <cellStyle name="Titolo 3 13" xfId="500"/>
    <cellStyle name="Titolo 3 14" xfId="501"/>
    <cellStyle name="Titolo 3 15" xfId="502"/>
    <cellStyle name="Titolo 3 16" xfId="503"/>
    <cellStyle name="Titolo 3 17" xfId="504"/>
    <cellStyle name="Titolo 3 18" xfId="505"/>
    <cellStyle name="Titolo 3 19" xfId="506"/>
    <cellStyle name="Titolo 3 2" xfId="507"/>
    <cellStyle name="Titolo 3 20" xfId="508"/>
    <cellStyle name="Titolo 3 21" xfId="509"/>
    <cellStyle name="Titolo 3 22" xfId="510"/>
    <cellStyle name="Titolo 3 23" xfId="511"/>
    <cellStyle name="Titolo 3 24" xfId="512"/>
    <cellStyle name="Titolo 3 25" xfId="513"/>
    <cellStyle name="Titolo 3 26" xfId="514"/>
    <cellStyle name="Titolo 3 27" xfId="515"/>
    <cellStyle name="Titolo 3 28" xfId="516"/>
    <cellStyle name="Titolo 3 3" xfId="517"/>
    <cellStyle name="Titolo 3 4" xfId="518"/>
    <cellStyle name="Titolo 3 5" xfId="519"/>
    <cellStyle name="Titolo 3 6" xfId="520"/>
    <cellStyle name="Titolo 3 7" xfId="521"/>
    <cellStyle name="Titolo 3 8" xfId="522"/>
    <cellStyle name="Titolo 3 9" xfId="523"/>
    <cellStyle name="Total" xfId="524"/>
    <cellStyle name="Totale 10" xfId="525"/>
    <cellStyle name="Totale 11" xfId="526"/>
    <cellStyle name="Totale 12" xfId="527"/>
    <cellStyle name="Totale 13" xfId="528"/>
    <cellStyle name="Totale 14" xfId="529"/>
    <cellStyle name="Totale 15" xfId="530"/>
    <cellStyle name="Totale 16" xfId="531"/>
    <cellStyle name="Totale 17" xfId="532"/>
    <cellStyle name="Totale 18" xfId="533"/>
    <cellStyle name="Totale 19" xfId="534"/>
    <cellStyle name="Totale 2" xfId="535"/>
    <cellStyle name="Totale 2 10" xfId="536"/>
    <cellStyle name="Totale 2 11" xfId="537"/>
    <cellStyle name="Totale 2 12" xfId="538"/>
    <cellStyle name="Totale 2 13" xfId="539"/>
    <cellStyle name="Totale 2 14" xfId="540"/>
    <cellStyle name="Totale 2 15" xfId="541"/>
    <cellStyle name="Totale 2 16" xfId="542"/>
    <cellStyle name="Totale 2 17" xfId="543"/>
    <cellStyle name="Totale 2 18" xfId="544"/>
    <cellStyle name="Totale 2 19" xfId="545"/>
    <cellStyle name="Totale 2 2" xfId="546"/>
    <cellStyle name="Totale 2 20" xfId="547"/>
    <cellStyle name="Totale 2 21" xfId="548"/>
    <cellStyle name="Totale 2 22" xfId="549"/>
    <cellStyle name="Totale 2 23" xfId="550"/>
    <cellStyle name="Totale 2 24" xfId="551"/>
    <cellStyle name="Totale 2 25" xfId="552"/>
    <cellStyle name="Totale 2 26" xfId="553"/>
    <cellStyle name="Totale 2 27" xfId="554"/>
    <cellStyle name="Totale 2 3" xfId="555"/>
    <cellStyle name="Totale 2 4" xfId="556"/>
    <cellStyle name="Totale 2 5" xfId="557"/>
    <cellStyle name="Totale 2 6" xfId="558"/>
    <cellStyle name="Totale 2 7" xfId="559"/>
    <cellStyle name="Totale 2 8" xfId="560"/>
    <cellStyle name="Totale 2 9" xfId="561"/>
    <cellStyle name="Totale 20" xfId="562"/>
    <cellStyle name="Totale 21" xfId="563"/>
    <cellStyle name="Totale 22" xfId="564"/>
    <cellStyle name="Totale 23" xfId="565"/>
    <cellStyle name="Totale 24" xfId="566"/>
    <cellStyle name="Totale 25" xfId="567"/>
    <cellStyle name="Totale 26" xfId="568"/>
    <cellStyle name="Totale 27" xfId="569"/>
    <cellStyle name="Totale 28" xfId="570"/>
    <cellStyle name="Totale 29" xfId="571"/>
    <cellStyle name="Totale 3" xfId="572"/>
    <cellStyle name="Totale 4" xfId="573"/>
    <cellStyle name="Totale 5" xfId="574"/>
    <cellStyle name="Totale 6" xfId="575"/>
    <cellStyle name="Totale 7" xfId="576"/>
    <cellStyle name="Totale 8" xfId="577"/>
    <cellStyle name="Totale 9" xfId="578"/>
    <cellStyle name="Currency" xfId="579"/>
    <cellStyle name="Currency [0]" xfId="580"/>
    <cellStyle name="Valuta 2" xfId="581"/>
    <cellStyle name="Valuta 2 10" xfId="582"/>
    <cellStyle name="Valuta 2 11" xfId="583"/>
    <cellStyle name="Valuta 2 12" xfId="584"/>
    <cellStyle name="Valuta 2 13" xfId="585"/>
    <cellStyle name="Valuta 2 14" xfId="586"/>
    <cellStyle name="Valuta 2 15" xfId="587"/>
    <cellStyle name="Valuta 2 16" xfId="588"/>
    <cellStyle name="Valuta 2 17" xfId="589"/>
    <cellStyle name="Valuta 2 18" xfId="590"/>
    <cellStyle name="Valuta 2 19" xfId="591"/>
    <cellStyle name="Valuta 2 2" xfId="592"/>
    <cellStyle name="Valuta 2 20" xfId="593"/>
    <cellStyle name="Valuta 2 21" xfId="594"/>
    <cellStyle name="Valuta 2 22" xfId="595"/>
    <cellStyle name="Valuta 2 23" xfId="596"/>
    <cellStyle name="Valuta 2 24" xfId="597"/>
    <cellStyle name="Valuta 2 25" xfId="598"/>
    <cellStyle name="Valuta 2 26" xfId="599"/>
    <cellStyle name="Valuta 2 27" xfId="600"/>
    <cellStyle name="Valuta 2 3" xfId="601"/>
    <cellStyle name="Valuta 2 4" xfId="602"/>
    <cellStyle name="Valuta 2 5" xfId="603"/>
    <cellStyle name="Valuta 2 6" xfId="604"/>
    <cellStyle name="Valuta 2 7" xfId="605"/>
    <cellStyle name="Valuta 2 8" xfId="606"/>
    <cellStyle name="Valuta 2 9" xfId="607"/>
    <cellStyle name="Valuta 3" xfId="608"/>
    <cellStyle name="Valuta 4" xfId="609"/>
    <cellStyle name="Virgola 2" xfId="610"/>
    <cellStyle name="Warning Text" xfId="6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2</xdr:row>
      <xdr:rowOff>114300</xdr:rowOff>
    </xdr:from>
    <xdr:to>
      <xdr:col>5</xdr:col>
      <xdr:colOff>504825</xdr:colOff>
      <xdr:row>5</xdr:row>
      <xdr:rowOff>285750</xdr:rowOff>
    </xdr:to>
    <xdr:pic>
      <xdr:nvPicPr>
        <xdr:cNvPr id="1" name="Picture 2"/>
        <xdr:cNvPicPr preferRelativeResize="1">
          <a:picLocks noChangeAspect="1"/>
        </xdr:cNvPicPr>
      </xdr:nvPicPr>
      <xdr:blipFill>
        <a:blip r:embed="rId1"/>
        <a:stretch>
          <a:fillRect/>
        </a:stretch>
      </xdr:blipFill>
      <xdr:spPr>
        <a:xfrm>
          <a:off x="2505075" y="704850"/>
          <a:ext cx="92392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xdr:row>
      <xdr:rowOff>0</xdr:rowOff>
    </xdr:from>
    <xdr:to>
      <xdr:col>8</xdr:col>
      <xdr:colOff>762000</xdr:colOff>
      <xdr:row>4</xdr:row>
      <xdr:rowOff>66675</xdr:rowOff>
    </xdr:to>
    <xdr:sp>
      <xdr:nvSpPr>
        <xdr:cNvPr id="1" name="Text Box 1"/>
        <xdr:cNvSpPr txBox="1">
          <a:spLocks noChangeArrowheads="1"/>
        </xdr:cNvSpPr>
      </xdr:nvSpPr>
      <xdr:spPr>
        <a:xfrm>
          <a:off x="3143250" y="161925"/>
          <a:ext cx="3714750" cy="552450"/>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Per i dettagli esplicativi sulle modalità di valorizzazione del servizio di Hosting si faccia riferimento all'omonima sezione della relativa scheda servizio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s>
</file>

<file path=xl/worksheets/_rels/sheet12.xml.rels><?xml version="1.0" encoding="utf-8" standalone="yes"?><Relationships xmlns="http://schemas.openxmlformats.org/package/2006/relationships"><Relationship Id="rId1" Type="http://schemas.openxmlformats.org/officeDocument/2006/relationships/hyperlink" Target="http://we.register.it/email/exchange.html" TargetMode="External" /><Relationship Id="rId2" Type="http://schemas.openxmlformats.org/officeDocument/2006/relationships/hyperlink" Target="http://www.senetic.it/microsoft/open/commerciale/server/exchange_enterprise_cal/" TargetMode="External" /><Relationship Id="rId3" Type="http://schemas.openxmlformats.org/officeDocument/2006/relationships/hyperlink" Target="http://www.microsoft.com/exchange/en-us/pricing-exchange-online-email.aspx" TargetMode="External" /><Relationship Id="rId4" Type="http://schemas.openxmlformats.org/officeDocument/2006/relationships/hyperlink" Target="http://www.alimail.it/listino_Exchange_hosting_e-mail_professionale.htm" TargetMode="External" /><Relationship Id="rId5" Type="http://schemas.openxmlformats.org/officeDocument/2006/relationships/comments" Target="../comments12.xml" /><Relationship Id="rId6" Type="http://schemas.openxmlformats.org/officeDocument/2006/relationships/vmlDrawing" Target="../drawings/vmlDrawing5.v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tabColor theme="0"/>
  </sheetPr>
  <dimension ref="A1:N22"/>
  <sheetViews>
    <sheetView tabSelected="1" zoomScalePageLayoutView="0" workbookViewId="0" topLeftCell="A1">
      <selection activeCell="A20" sqref="A20:J20"/>
    </sheetView>
  </sheetViews>
  <sheetFormatPr defaultColWidth="8.8515625" defaultRowHeight="12.75"/>
  <cols>
    <col min="1" max="1" width="8.421875" style="1" customWidth="1"/>
    <col min="2" max="16384" width="8.8515625" style="1" customWidth="1"/>
  </cols>
  <sheetData>
    <row r="1" ht="23.25">
      <c r="G1" s="2"/>
    </row>
    <row r="2" ht="23.25">
      <c r="G2" s="2"/>
    </row>
    <row r="3" ht="23.25">
      <c r="G3" s="2"/>
    </row>
    <row r="4" ht="23.25">
      <c r="G4" s="2"/>
    </row>
    <row r="6" ht="23.25">
      <c r="G6" s="2"/>
    </row>
    <row r="7" spans="1:10" ht="63.75" customHeight="1">
      <c r="A7" s="476" t="s">
        <v>99</v>
      </c>
      <c r="B7" s="477"/>
      <c r="C7" s="477"/>
      <c r="D7" s="477"/>
      <c r="E7" s="477"/>
      <c r="F7" s="477"/>
      <c r="G7" s="477"/>
      <c r="H7" s="477"/>
      <c r="I7" s="477"/>
      <c r="J7" s="477"/>
    </row>
    <row r="8" spans="1:10" ht="47.25" customHeight="1">
      <c r="A8" s="478" t="s">
        <v>599</v>
      </c>
      <c r="B8" s="478"/>
      <c r="C8" s="478"/>
      <c r="D8" s="478"/>
      <c r="E8" s="478"/>
      <c r="F8" s="478"/>
      <c r="G8" s="478"/>
      <c r="H8" s="478"/>
      <c r="I8" s="478"/>
      <c r="J8" s="478"/>
    </row>
    <row r="9" ht="18">
      <c r="G9" s="3"/>
    </row>
    <row r="10" ht="18">
      <c r="G10" s="3"/>
    </row>
    <row r="11" ht="18">
      <c r="G11" s="4"/>
    </row>
    <row r="12" ht="18">
      <c r="G12" s="4"/>
    </row>
    <row r="13" spans="1:14" ht="55.5" customHeight="1">
      <c r="A13" s="479" t="s">
        <v>598</v>
      </c>
      <c r="B13" s="480"/>
      <c r="C13" s="480"/>
      <c r="D13" s="480"/>
      <c r="E13" s="480"/>
      <c r="F13" s="480"/>
      <c r="G13" s="480"/>
      <c r="H13" s="480"/>
      <c r="I13" s="480"/>
      <c r="J13" s="480"/>
      <c r="N13" s="481"/>
    </row>
    <row r="14" spans="1:14" ht="24.75">
      <c r="A14" s="105"/>
      <c r="B14" s="105"/>
      <c r="C14" s="105"/>
      <c r="D14" s="105"/>
      <c r="E14" s="105"/>
      <c r="F14" s="105"/>
      <c r="G14" s="106"/>
      <c r="H14" s="105"/>
      <c r="I14" s="105"/>
      <c r="J14" s="105"/>
      <c r="N14" s="481"/>
    </row>
    <row r="15" spans="1:14" ht="24.75">
      <c r="A15" s="105"/>
      <c r="B15" s="105"/>
      <c r="C15" s="105"/>
      <c r="D15" s="105"/>
      <c r="E15" s="105"/>
      <c r="F15" s="105"/>
      <c r="G15" s="106"/>
      <c r="H15" s="105"/>
      <c r="I15" s="105"/>
      <c r="J15" s="105"/>
      <c r="N15" s="481"/>
    </row>
    <row r="16" spans="1:10" ht="27.75" customHeight="1">
      <c r="A16" s="479" t="s">
        <v>100</v>
      </c>
      <c r="B16" s="480"/>
      <c r="C16" s="480"/>
      <c r="D16" s="480"/>
      <c r="E16" s="480"/>
      <c r="F16" s="480"/>
      <c r="G16" s="480"/>
      <c r="H16" s="480"/>
      <c r="I16" s="480"/>
      <c r="J16" s="480"/>
    </row>
    <row r="17" ht="24.75">
      <c r="G17" s="5"/>
    </row>
    <row r="18" ht="24.75">
      <c r="G18" s="5"/>
    </row>
    <row r="19" ht="26.25">
      <c r="G19" s="6"/>
    </row>
    <row r="20" spans="1:10" ht="35.25" customHeight="1">
      <c r="A20" s="474" t="s">
        <v>101</v>
      </c>
      <c r="B20" s="475"/>
      <c r="C20" s="475"/>
      <c r="D20" s="475"/>
      <c r="E20" s="475"/>
      <c r="F20" s="475"/>
      <c r="G20" s="475"/>
      <c r="H20" s="475"/>
      <c r="I20" s="475"/>
      <c r="J20" s="475"/>
    </row>
    <row r="22" ht="12.75">
      <c r="G22" s="7"/>
    </row>
  </sheetData>
  <sheetProtection password="A28C" sheet="1" objects="1" scenarios="1"/>
  <mergeCells count="6">
    <mergeCell ref="N13:N15"/>
    <mergeCell ref="A16:J16"/>
    <mergeCell ref="A20:J20"/>
    <mergeCell ref="A7:J7"/>
    <mergeCell ref="A8:J8"/>
    <mergeCell ref="A13:J13"/>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B1:AB54"/>
  <sheetViews>
    <sheetView zoomScale="90" zoomScaleNormal="90" zoomScalePageLayoutView="90" workbookViewId="0" topLeftCell="A38">
      <selection activeCell="H13" sqref="H13"/>
    </sheetView>
  </sheetViews>
  <sheetFormatPr defaultColWidth="8.8515625" defaultRowHeight="12.75"/>
  <cols>
    <col min="1" max="1" width="4.140625" style="44" customWidth="1"/>
    <col min="2" max="2" width="33.28125" style="44" bestFit="1" customWidth="1"/>
    <col min="3" max="3" width="24.421875" style="44" customWidth="1"/>
    <col min="4" max="4" width="16.421875" style="44" customWidth="1"/>
    <col min="5" max="5" width="14.28125" style="44" customWidth="1"/>
    <col min="6" max="7" width="13.8515625" style="44" customWidth="1"/>
    <col min="8" max="8" width="13.421875" style="44" customWidth="1"/>
    <col min="9" max="9" width="13.140625" style="44" customWidth="1"/>
    <col min="10" max="10" width="18.8515625" style="54" bestFit="1" customWidth="1"/>
    <col min="11" max="11" width="24.140625" style="45" customWidth="1"/>
    <col min="12" max="13" width="21.00390625" style="132" customWidth="1"/>
    <col min="14" max="14" width="24.140625" style="45" customWidth="1"/>
    <col min="15" max="15" width="36.00390625" style="46" customWidth="1"/>
    <col min="16" max="16" width="33.8515625" style="46" customWidth="1"/>
    <col min="17" max="17" width="30.421875" style="46" customWidth="1"/>
    <col min="18" max="22" width="8.8515625" style="44" customWidth="1"/>
    <col min="23" max="23" width="17.8515625" style="44" customWidth="1"/>
    <col min="24" max="24" width="21.140625" style="44" customWidth="1"/>
    <col min="25" max="25" width="17.28125" style="44" customWidth="1"/>
    <col min="26" max="26" width="20.8515625" style="44" customWidth="1"/>
    <col min="27" max="27" width="19.140625" style="44" customWidth="1"/>
    <col min="28" max="28" width="17.140625" style="44" customWidth="1"/>
    <col min="29" max="29" width="8.8515625" style="44" customWidth="1"/>
    <col min="30" max="16384" width="8.8515625" style="44" customWidth="1"/>
  </cols>
  <sheetData>
    <row r="1" spans="12:13" s="55" customFormat="1" ht="12.75">
      <c r="L1" s="130"/>
      <c r="M1" s="130"/>
    </row>
    <row r="2" spans="2:13" s="56" customFormat="1" ht="20.25">
      <c r="B2" s="56" t="s">
        <v>217</v>
      </c>
      <c r="L2" s="131"/>
      <c r="M2" s="131"/>
    </row>
    <row r="3" spans="12:13" s="55" customFormat="1" ht="12.75">
      <c r="L3" s="130"/>
      <c r="M3" s="130"/>
    </row>
    <row r="5" ht="12.75">
      <c r="W5" s="11" t="s">
        <v>225</v>
      </c>
    </row>
    <row r="6" spans="2:28" ht="75.75" customHeight="1">
      <c r="B6" s="58" t="s">
        <v>174</v>
      </c>
      <c r="C6" s="58" t="s">
        <v>14</v>
      </c>
      <c r="D6" s="58" t="s">
        <v>15</v>
      </c>
      <c r="E6" s="58" t="s">
        <v>1</v>
      </c>
      <c r="F6" s="58" t="s">
        <v>2</v>
      </c>
      <c r="G6" s="58" t="s">
        <v>3</v>
      </c>
      <c r="H6" s="58" t="s">
        <v>4</v>
      </c>
      <c r="I6" s="58" t="s">
        <v>5</v>
      </c>
      <c r="J6" s="58" t="s">
        <v>151</v>
      </c>
      <c r="K6" s="150" t="s">
        <v>246</v>
      </c>
      <c r="L6" s="150" t="s">
        <v>247</v>
      </c>
      <c r="M6" s="59" t="s">
        <v>245</v>
      </c>
      <c r="N6" s="59" t="s">
        <v>248</v>
      </c>
      <c r="O6" s="58" t="s">
        <v>218</v>
      </c>
      <c r="P6" s="108" t="s">
        <v>219</v>
      </c>
      <c r="Q6" s="59" t="s">
        <v>144</v>
      </c>
      <c r="W6" s="145" t="s">
        <v>174</v>
      </c>
      <c r="X6" s="145" t="s">
        <v>14</v>
      </c>
      <c r="Y6" s="145" t="s">
        <v>15</v>
      </c>
      <c r="Z6" s="145" t="s">
        <v>151</v>
      </c>
      <c r="AA6" s="59" t="s">
        <v>226</v>
      </c>
      <c r="AB6" s="59" t="s">
        <v>227</v>
      </c>
    </row>
    <row r="7" spans="2:28" ht="76.5" customHeight="1">
      <c r="B7" s="299"/>
      <c r="C7" s="299" t="s">
        <v>80</v>
      </c>
      <c r="D7" s="109"/>
      <c r="E7" s="133"/>
      <c r="F7" s="133"/>
      <c r="G7" s="133"/>
      <c r="H7" s="133"/>
      <c r="I7" s="133"/>
      <c r="J7" s="134"/>
      <c r="K7" s="297"/>
      <c r="L7" s="150"/>
      <c r="M7" s="298"/>
      <c r="N7" s="298"/>
      <c r="O7" s="110"/>
      <c r="P7" s="111"/>
      <c r="Q7" s="112"/>
      <c r="W7" s="145"/>
      <c r="X7" s="109"/>
      <c r="Y7" s="109"/>
      <c r="Z7" s="134"/>
      <c r="AA7" s="146"/>
      <c r="AB7" s="149"/>
    </row>
    <row r="8" spans="2:28" ht="76.5" customHeight="1">
      <c r="B8" s="185" t="s">
        <v>80</v>
      </c>
      <c r="C8" s="109" t="s">
        <v>159</v>
      </c>
      <c r="D8" s="109" t="s">
        <v>41</v>
      </c>
      <c r="E8" s="133" t="e">
        <f>#REF!*#REF!</f>
        <v>#REF!</v>
      </c>
      <c r="F8" s="133" t="e">
        <f>#REF!*#REF!</f>
        <v>#REF!</v>
      </c>
      <c r="G8" s="133" t="e">
        <f>#REF!*#REF!</f>
        <v>#REF!</v>
      </c>
      <c r="H8" s="133" t="e">
        <f>#REF!*#REF!</f>
        <v>#REF!</v>
      </c>
      <c r="I8" s="133" t="e">
        <f>#REF!*#REF!</f>
        <v>#REF!</v>
      </c>
      <c r="J8" s="134" t="e">
        <f aca="true" t="shared" si="0" ref="J8:J16">SUM(E8:I8)</f>
        <v>#REF!</v>
      </c>
      <c r="K8" s="510">
        <v>4625000</v>
      </c>
      <c r="L8" s="508" t="e">
        <f>(SUM(J8:J9)-K8)/K8</f>
        <v>#REF!</v>
      </c>
      <c r="M8" s="186">
        <v>8062317</v>
      </c>
      <c r="N8" s="513" t="e">
        <f>(SUM(J8:J16)-M8)/M8</f>
        <v>#REF!</v>
      </c>
      <c r="O8" s="110" t="s">
        <v>228</v>
      </c>
      <c r="P8" s="111" t="s">
        <v>149</v>
      </c>
      <c r="Q8" s="112"/>
      <c r="W8" s="185" t="s">
        <v>80</v>
      </c>
      <c r="X8" s="109" t="s">
        <v>159</v>
      </c>
      <c r="Y8" s="109" t="s">
        <v>41</v>
      </c>
      <c r="Z8" s="134" t="e">
        <f>J8</f>
        <v>#REF!</v>
      </c>
      <c r="AA8" s="146" t="e">
        <f>#REF!</f>
        <v>#REF!</v>
      </c>
      <c r="AB8" s="149" t="e">
        <f aca="true" t="shared" si="1" ref="AB8:AB29">Z8-AA8</f>
        <v>#REF!</v>
      </c>
    </row>
    <row r="9" spans="2:28" ht="110.25" customHeight="1">
      <c r="B9" s="185"/>
      <c r="C9" s="109" t="s">
        <v>160</v>
      </c>
      <c r="D9" s="109" t="s">
        <v>41</v>
      </c>
      <c r="E9" s="133" t="e">
        <f>#REF!*#REF!</f>
        <v>#REF!</v>
      </c>
      <c r="F9" s="133" t="e">
        <f>#REF!*#REF!</f>
        <v>#REF!</v>
      </c>
      <c r="G9" s="133" t="e">
        <f>#REF!*#REF!</f>
        <v>#REF!</v>
      </c>
      <c r="H9" s="133" t="e">
        <f>#REF!*#REF!</f>
        <v>#REF!</v>
      </c>
      <c r="I9" s="133" t="e">
        <f>#REF!*#REF!</f>
        <v>#REF!</v>
      </c>
      <c r="J9" s="134" t="e">
        <f t="shared" si="0"/>
        <v>#REF!</v>
      </c>
      <c r="K9" s="511"/>
      <c r="L9" s="508"/>
      <c r="M9" s="512"/>
      <c r="N9" s="514"/>
      <c r="O9" s="110" t="s">
        <v>241</v>
      </c>
      <c r="P9" s="111" t="s">
        <v>242</v>
      </c>
      <c r="Q9" s="112"/>
      <c r="W9" s="185"/>
      <c r="X9" s="109" t="s">
        <v>160</v>
      </c>
      <c r="Y9" s="109" t="s">
        <v>41</v>
      </c>
      <c r="Z9" s="134" t="e">
        <f aca="true" t="shared" si="2" ref="Z9:Z51">J9</f>
        <v>#REF!</v>
      </c>
      <c r="AA9" s="146" t="e">
        <f>#REF!</f>
        <v>#REF!</v>
      </c>
      <c r="AB9" s="149" t="e">
        <f t="shared" si="1"/>
        <v>#REF!</v>
      </c>
    </row>
    <row r="10" spans="2:28" ht="44.25" customHeight="1">
      <c r="B10" s="185"/>
      <c r="C10" s="113" t="s">
        <v>161</v>
      </c>
      <c r="D10" s="109" t="s">
        <v>41</v>
      </c>
      <c r="E10" s="133" t="e">
        <f>#REF!*#REF!</f>
        <v>#REF!</v>
      </c>
      <c r="F10" s="133" t="e">
        <f>#REF!*#REF!</f>
        <v>#REF!</v>
      </c>
      <c r="G10" s="133" t="e">
        <f>#REF!*#REF!</f>
        <v>#REF!</v>
      </c>
      <c r="H10" s="133" t="e">
        <f>#REF!*#REF!</f>
        <v>#REF!</v>
      </c>
      <c r="I10" s="133" t="e">
        <f>#REF!*#REF!</f>
        <v>#REF!</v>
      </c>
      <c r="J10" s="134" t="e">
        <f t="shared" si="0"/>
        <v>#REF!</v>
      </c>
      <c r="K10" s="129"/>
      <c r="L10" s="129"/>
      <c r="M10" s="512"/>
      <c r="N10" s="514"/>
      <c r="O10" s="110" t="s">
        <v>152</v>
      </c>
      <c r="P10" s="114"/>
      <c r="Q10" s="112"/>
      <c r="W10" s="185"/>
      <c r="X10" s="113" t="s">
        <v>161</v>
      </c>
      <c r="Y10" s="109" t="s">
        <v>41</v>
      </c>
      <c r="Z10" s="134" t="e">
        <f t="shared" si="2"/>
        <v>#REF!</v>
      </c>
      <c r="AA10" s="146" t="e">
        <f>#REF!</f>
        <v>#REF!</v>
      </c>
      <c r="AB10" s="149" t="e">
        <f t="shared" si="1"/>
        <v>#REF!</v>
      </c>
    </row>
    <row r="11" spans="2:28" ht="44.25" customHeight="1">
      <c r="B11" s="185"/>
      <c r="C11" s="113" t="s">
        <v>162</v>
      </c>
      <c r="D11" s="109" t="s">
        <v>41</v>
      </c>
      <c r="E11" s="133" t="e">
        <f>#REF!*#REF!</f>
        <v>#REF!</v>
      </c>
      <c r="F11" s="133" t="e">
        <f>#REF!*#REF!</f>
        <v>#REF!</v>
      </c>
      <c r="G11" s="133" t="e">
        <f>#REF!*#REF!</f>
        <v>#REF!</v>
      </c>
      <c r="H11" s="133" t="e">
        <f>#REF!*#REF!</f>
        <v>#REF!</v>
      </c>
      <c r="I11" s="133" t="e">
        <f>#REF!*#REF!</f>
        <v>#REF!</v>
      </c>
      <c r="J11" s="134" t="e">
        <f t="shared" si="0"/>
        <v>#REF!</v>
      </c>
      <c r="K11" s="129"/>
      <c r="L11" s="129"/>
      <c r="M11" s="512"/>
      <c r="N11" s="514"/>
      <c r="O11" s="110" t="s">
        <v>238</v>
      </c>
      <c r="P11" s="112"/>
      <c r="Q11" s="112"/>
      <c r="W11" s="185"/>
      <c r="X11" s="113" t="s">
        <v>162</v>
      </c>
      <c r="Y11" s="109" t="s">
        <v>41</v>
      </c>
      <c r="Z11" s="134" t="e">
        <f t="shared" si="2"/>
        <v>#REF!</v>
      </c>
      <c r="AA11" s="146" t="e">
        <f>#REF!</f>
        <v>#REF!</v>
      </c>
      <c r="AB11" s="149" t="e">
        <f t="shared" si="1"/>
        <v>#REF!</v>
      </c>
    </row>
    <row r="12" spans="2:28" ht="39" customHeight="1">
      <c r="B12" s="185"/>
      <c r="C12" s="113" t="s">
        <v>164</v>
      </c>
      <c r="D12" s="109" t="s">
        <v>17</v>
      </c>
      <c r="E12" s="133" t="e">
        <f>#REF!*#REF!</f>
        <v>#REF!</v>
      </c>
      <c r="F12" s="133" t="e">
        <f>#REF!*#REF!</f>
        <v>#REF!</v>
      </c>
      <c r="G12" s="133" t="e">
        <f>#REF!*#REF!</f>
        <v>#REF!</v>
      </c>
      <c r="H12" s="133" t="e">
        <f>#REF!*#REF!</f>
        <v>#REF!</v>
      </c>
      <c r="I12" s="133" t="e">
        <f>#REF!*#REF!</f>
        <v>#REF!</v>
      </c>
      <c r="J12" s="134" t="e">
        <f t="shared" si="0"/>
        <v>#REF!</v>
      </c>
      <c r="K12" s="510">
        <v>7320600</v>
      </c>
      <c r="L12" s="508" t="e">
        <f>(SUM(J12:J16)-K12)/K12</f>
        <v>#REF!</v>
      </c>
      <c r="M12" s="512"/>
      <c r="N12" s="514"/>
      <c r="O12" s="517" t="s">
        <v>250</v>
      </c>
      <c r="P12" s="503"/>
      <c r="Q12" s="503"/>
      <c r="W12" s="185"/>
      <c r="X12" s="113" t="s">
        <v>164</v>
      </c>
      <c r="Y12" s="109" t="s">
        <v>17</v>
      </c>
      <c r="Z12" s="134" t="e">
        <f t="shared" si="2"/>
        <v>#REF!</v>
      </c>
      <c r="AA12" s="146" t="e">
        <f>#REF!</f>
        <v>#REF!</v>
      </c>
      <c r="AB12" s="149" t="e">
        <f t="shared" si="1"/>
        <v>#REF!</v>
      </c>
    </row>
    <row r="13" spans="2:28" ht="40.5" customHeight="1">
      <c r="B13" s="185"/>
      <c r="C13" s="113" t="s">
        <v>163</v>
      </c>
      <c r="D13" s="109" t="s">
        <v>17</v>
      </c>
      <c r="E13" s="133" t="e">
        <f>#REF!*#REF!</f>
        <v>#REF!</v>
      </c>
      <c r="F13" s="133" t="e">
        <f>#REF!*#REF!</f>
        <v>#REF!</v>
      </c>
      <c r="G13" s="133" t="e">
        <f>#REF!*#REF!</f>
        <v>#REF!</v>
      </c>
      <c r="H13" s="133" t="e">
        <f>#REF!*#REF!</f>
        <v>#REF!</v>
      </c>
      <c r="I13" s="133" t="e">
        <f>#REF!*#REF!</f>
        <v>#REF!</v>
      </c>
      <c r="J13" s="134" t="e">
        <f t="shared" si="0"/>
        <v>#REF!</v>
      </c>
      <c r="K13" s="516"/>
      <c r="L13" s="508"/>
      <c r="M13" s="512"/>
      <c r="N13" s="514"/>
      <c r="O13" s="499"/>
      <c r="P13" s="503"/>
      <c r="Q13" s="503"/>
      <c r="W13" s="185"/>
      <c r="X13" s="113" t="s">
        <v>163</v>
      </c>
      <c r="Y13" s="109" t="s">
        <v>17</v>
      </c>
      <c r="Z13" s="134" t="e">
        <f t="shared" si="2"/>
        <v>#REF!</v>
      </c>
      <c r="AA13" s="146" t="e">
        <f>#REF!</f>
        <v>#REF!</v>
      </c>
      <c r="AB13" s="149" t="e">
        <f t="shared" si="1"/>
        <v>#REF!</v>
      </c>
    </row>
    <row r="14" spans="2:28" ht="27.75" customHeight="1">
      <c r="B14" s="185"/>
      <c r="C14" s="113" t="s">
        <v>106</v>
      </c>
      <c r="D14" s="109" t="s">
        <v>17</v>
      </c>
      <c r="E14" s="133" t="e">
        <f>#REF!*#REF!</f>
        <v>#REF!</v>
      </c>
      <c r="F14" s="133" t="e">
        <f>#REF!*#REF!</f>
        <v>#REF!</v>
      </c>
      <c r="G14" s="133" t="e">
        <f>#REF!*#REF!</f>
        <v>#REF!</v>
      </c>
      <c r="H14" s="133" t="e">
        <f>#REF!*#REF!</f>
        <v>#REF!</v>
      </c>
      <c r="I14" s="133" t="e">
        <f>#REF!*#REF!</f>
        <v>#REF!</v>
      </c>
      <c r="J14" s="134" t="e">
        <f t="shared" si="0"/>
        <v>#REF!</v>
      </c>
      <c r="K14" s="516"/>
      <c r="L14" s="508"/>
      <c r="M14" s="512"/>
      <c r="N14" s="514"/>
      <c r="O14" s="499"/>
      <c r="P14" s="503"/>
      <c r="Q14" s="503"/>
      <c r="W14" s="185"/>
      <c r="X14" s="113" t="s">
        <v>106</v>
      </c>
      <c r="Y14" s="109" t="s">
        <v>17</v>
      </c>
      <c r="Z14" s="134" t="e">
        <f t="shared" si="2"/>
        <v>#REF!</v>
      </c>
      <c r="AA14" s="146" t="e">
        <f>#REF!</f>
        <v>#REF!</v>
      </c>
      <c r="AB14" s="149" t="e">
        <f t="shared" si="1"/>
        <v>#REF!</v>
      </c>
    </row>
    <row r="15" spans="2:28" ht="28.5" customHeight="1">
      <c r="B15" s="185"/>
      <c r="C15" s="113" t="s">
        <v>107</v>
      </c>
      <c r="D15" s="109" t="s">
        <v>17</v>
      </c>
      <c r="E15" s="133" t="e">
        <f>#REF!*#REF!</f>
        <v>#REF!</v>
      </c>
      <c r="F15" s="133" t="e">
        <f>#REF!*#REF!</f>
        <v>#REF!</v>
      </c>
      <c r="G15" s="133" t="e">
        <f>#REF!*#REF!</f>
        <v>#REF!</v>
      </c>
      <c r="H15" s="133" t="e">
        <f>#REF!*#REF!</f>
        <v>#REF!</v>
      </c>
      <c r="I15" s="133" t="e">
        <f>#REF!*#REF!</f>
        <v>#REF!</v>
      </c>
      <c r="J15" s="134" t="e">
        <f t="shared" si="0"/>
        <v>#REF!</v>
      </c>
      <c r="K15" s="516"/>
      <c r="L15" s="508"/>
      <c r="M15" s="512"/>
      <c r="N15" s="514"/>
      <c r="O15" s="499"/>
      <c r="P15" s="503"/>
      <c r="Q15" s="503"/>
      <c r="W15" s="185"/>
      <c r="X15" s="113" t="s">
        <v>107</v>
      </c>
      <c r="Y15" s="109" t="s">
        <v>17</v>
      </c>
      <c r="Z15" s="134" t="e">
        <f t="shared" si="2"/>
        <v>#REF!</v>
      </c>
      <c r="AA15" s="146" t="e">
        <f>#REF!</f>
        <v>#REF!</v>
      </c>
      <c r="AB15" s="149" t="e">
        <f t="shared" si="1"/>
        <v>#REF!</v>
      </c>
    </row>
    <row r="16" spans="2:28" ht="23.25" customHeight="1">
      <c r="B16" s="185"/>
      <c r="C16" s="113" t="s">
        <v>108</v>
      </c>
      <c r="D16" s="109" t="s">
        <v>17</v>
      </c>
      <c r="E16" s="133" t="e">
        <f>#REF!*#REF!</f>
        <v>#REF!</v>
      </c>
      <c r="F16" s="133" t="e">
        <f>#REF!*#REF!</f>
        <v>#REF!</v>
      </c>
      <c r="G16" s="133" t="e">
        <f>#REF!*#REF!</f>
        <v>#REF!</v>
      </c>
      <c r="H16" s="133" t="e">
        <f>#REF!*#REF!</f>
        <v>#REF!</v>
      </c>
      <c r="I16" s="133" t="e">
        <f>#REF!*#REF!</f>
        <v>#REF!</v>
      </c>
      <c r="J16" s="134" t="e">
        <f t="shared" si="0"/>
        <v>#REF!</v>
      </c>
      <c r="K16" s="511"/>
      <c r="L16" s="508"/>
      <c r="M16" s="506"/>
      <c r="N16" s="515"/>
      <c r="O16" s="499"/>
      <c r="P16" s="503"/>
      <c r="Q16" s="503"/>
      <c r="W16" s="185"/>
      <c r="X16" s="113" t="s">
        <v>108</v>
      </c>
      <c r="Y16" s="109" t="s">
        <v>17</v>
      </c>
      <c r="Z16" s="134" t="e">
        <f t="shared" si="2"/>
        <v>#REF!</v>
      </c>
      <c r="AA16" s="146" t="e">
        <f>#REF!</f>
        <v>#REF!</v>
      </c>
      <c r="AB16" s="149" t="e">
        <f t="shared" si="1"/>
        <v>#REF!</v>
      </c>
    </row>
    <row r="17" spans="2:28" ht="97.5" customHeight="1">
      <c r="B17" s="302"/>
      <c r="C17" s="302" t="s">
        <v>86</v>
      </c>
      <c r="D17" s="118"/>
      <c r="E17" s="135"/>
      <c r="F17" s="135"/>
      <c r="G17" s="135"/>
      <c r="H17" s="135"/>
      <c r="I17" s="135"/>
      <c r="J17" s="136"/>
      <c r="K17" s="137"/>
      <c r="L17" s="140"/>
      <c r="M17" s="167"/>
      <c r="N17" s="188"/>
      <c r="O17" s="107"/>
      <c r="P17" s="61"/>
      <c r="Q17" s="61"/>
      <c r="W17" s="125"/>
      <c r="X17" s="118"/>
      <c r="Y17" s="118"/>
      <c r="Z17" s="136"/>
      <c r="AA17" s="148"/>
      <c r="AB17" s="149"/>
    </row>
    <row r="18" spans="2:28" ht="97.5" customHeight="1">
      <c r="B18" s="175" t="s">
        <v>86</v>
      </c>
      <c r="C18" s="118" t="s">
        <v>19</v>
      </c>
      <c r="D18" s="118" t="s">
        <v>20</v>
      </c>
      <c r="E18" s="135" t="e">
        <f>#REF!*#REF!</f>
        <v>#REF!</v>
      </c>
      <c r="F18" s="135" t="e">
        <f>#REF!*#REF!</f>
        <v>#REF!</v>
      </c>
      <c r="G18" s="135" t="e">
        <f>#REF!*#REF!</f>
        <v>#REF!</v>
      </c>
      <c r="H18" s="135" t="e">
        <f>#REF!*#REF!</f>
        <v>#REF!</v>
      </c>
      <c r="I18" s="135" t="e">
        <f>#REF!*#REF!</f>
        <v>#REF!</v>
      </c>
      <c r="J18" s="136" t="e">
        <f>SUM(E18:I18)</f>
        <v>#REF!</v>
      </c>
      <c r="K18" s="137">
        <v>5071425</v>
      </c>
      <c r="L18" s="140" t="e">
        <f>(J18-K18)/K18</f>
        <v>#REF!</v>
      </c>
      <c r="M18" s="180">
        <v>9489912</v>
      </c>
      <c r="N18" s="183" t="e">
        <f>(SUM(J18:J19)-M18)/M18</f>
        <v>#REF!</v>
      </c>
      <c r="O18" s="107" t="s">
        <v>244</v>
      </c>
      <c r="P18" s="61" t="s">
        <v>150</v>
      </c>
      <c r="Q18" s="61"/>
      <c r="W18" s="175" t="s">
        <v>86</v>
      </c>
      <c r="X18" s="118" t="s">
        <v>19</v>
      </c>
      <c r="Y18" s="118" t="s">
        <v>20</v>
      </c>
      <c r="Z18" s="136" t="e">
        <f t="shared" si="2"/>
        <v>#REF!</v>
      </c>
      <c r="AA18" s="148" t="e">
        <f>#REF!+#REF!</f>
        <v>#REF!</v>
      </c>
      <c r="AB18" s="149" t="e">
        <f t="shared" si="1"/>
        <v>#REF!</v>
      </c>
    </row>
    <row r="19" spans="2:28" ht="141.75" customHeight="1">
      <c r="B19" s="175"/>
      <c r="C19" s="118" t="s">
        <v>51</v>
      </c>
      <c r="D19" s="118" t="s">
        <v>22</v>
      </c>
      <c r="E19" s="135" t="e">
        <f>#REF!</f>
        <v>#REF!</v>
      </c>
      <c r="F19" s="135" t="e">
        <f>#REF!</f>
        <v>#REF!</v>
      </c>
      <c r="G19" s="135" t="e">
        <f>#REF!</f>
        <v>#REF!</v>
      </c>
      <c r="H19" s="135" t="e">
        <f>#REF!</f>
        <v>#REF!</v>
      </c>
      <c r="I19" s="135" t="e">
        <f>#REF!</f>
        <v>#REF!</v>
      </c>
      <c r="J19" s="136" t="e">
        <f aca="true" t="shared" si="3" ref="J19:J27">SUM(E19:I19)</f>
        <v>#REF!</v>
      </c>
      <c r="K19" s="137">
        <v>1846025.1</v>
      </c>
      <c r="L19" s="141" t="e">
        <f>(J19-K19)/K19</f>
        <v>#REF!</v>
      </c>
      <c r="M19" s="506"/>
      <c r="N19" s="507"/>
      <c r="O19" s="119" t="s">
        <v>153</v>
      </c>
      <c r="P19" s="61" t="s">
        <v>243</v>
      </c>
      <c r="Q19" s="120"/>
      <c r="W19" s="175"/>
      <c r="X19" s="118" t="s">
        <v>51</v>
      </c>
      <c r="Y19" s="118" t="s">
        <v>22</v>
      </c>
      <c r="Z19" s="136" t="e">
        <f t="shared" si="2"/>
        <v>#REF!</v>
      </c>
      <c r="AA19" s="148" t="e">
        <f>#REF!</f>
        <v>#REF!</v>
      </c>
      <c r="AB19" s="149" t="e">
        <f t="shared" si="1"/>
        <v>#REF!</v>
      </c>
    </row>
    <row r="20" spans="2:28" ht="32.25" customHeight="1">
      <c r="B20" s="303"/>
      <c r="C20" s="303" t="s">
        <v>81</v>
      </c>
      <c r="D20" s="111"/>
      <c r="E20" s="133"/>
      <c r="F20" s="133"/>
      <c r="G20" s="133"/>
      <c r="H20" s="133"/>
      <c r="I20" s="133"/>
      <c r="J20" s="134"/>
      <c r="K20" s="137"/>
      <c r="L20" s="141"/>
      <c r="M20" s="167"/>
      <c r="N20" s="300"/>
      <c r="O20" s="119"/>
      <c r="P20" s="301"/>
      <c r="Q20" s="120"/>
      <c r="W20" s="126"/>
      <c r="X20" s="118"/>
      <c r="Y20" s="111"/>
      <c r="Z20" s="134"/>
      <c r="AA20" s="146"/>
      <c r="AB20" s="149"/>
    </row>
    <row r="21" spans="2:28" ht="32.25" customHeight="1">
      <c r="B21" s="185" t="s">
        <v>81</v>
      </c>
      <c r="C21" s="505" t="s">
        <v>87</v>
      </c>
      <c r="D21" s="111" t="s">
        <v>88</v>
      </c>
      <c r="E21" s="133" t="e">
        <f>#REF!*#REF!</f>
        <v>#REF!</v>
      </c>
      <c r="F21" s="133" t="e">
        <f>#REF!*#REF!</f>
        <v>#REF!</v>
      </c>
      <c r="G21" s="133" t="e">
        <f>#REF!*#REF!</f>
        <v>#REF!</v>
      </c>
      <c r="H21" s="133" t="e">
        <f>#REF!*#REF!</f>
        <v>#REF!</v>
      </c>
      <c r="I21" s="133" t="e">
        <f>#REF!*#REF!</f>
        <v>#REF!</v>
      </c>
      <c r="J21" s="134" t="e">
        <f>SUM(E21:I21)</f>
        <v>#REF!</v>
      </c>
      <c r="K21" s="497">
        <v>819210</v>
      </c>
      <c r="L21" s="508" t="e">
        <f>((J21+J22)-K21)/K21</f>
        <v>#REF!</v>
      </c>
      <c r="M21" s="186">
        <v>1257876</v>
      </c>
      <c r="N21" s="152" t="e">
        <f>(SUM(J21:J25)-M21)/M21</f>
        <v>#REF!</v>
      </c>
      <c r="O21" s="499" t="s">
        <v>147</v>
      </c>
      <c r="P21" s="500"/>
      <c r="Q21" s="503"/>
      <c r="W21" s="185" t="s">
        <v>81</v>
      </c>
      <c r="X21" s="505" t="s">
        <v>87</v>
      </c>
      <c r="Y21" s="111" t="s">
        <v>88</v>
      </c>
      <c r="Z21" s="134" t="e">
        <f t="shared" si="2"/>
        <v>#REF!</v>
      </c>
      <c r="AA21" s="146" t="e">
        <f>#REF!</f>
        <v>#REF!</v>
      </c>
      <c r="AB21" s="149" t="e">
        <f t="shared" si="1"/>
        <v>#REF!</v>
      </c>
    </row>
    <row r="22" spans="2:28" ht="34.5" customHeight="1">
      <c r="B22" s="185"/>
      <c r="C22" s="505"/>
      <c r="D22" s="111" t="s">
        <v>89</v>
      </c>
      <c r="E22" s="133" t="e">
        <f>#REF!*#REF!</f>
        <v>#REF!</v>
      </c>
      <c r="F22" s="133" t="e">
        <f>#REF!*#REF!</f>
        <v>#REF!</v>
      </c>
      <c r="G22" s="133" t="e">
        <f>#REF!*#REF!</f>
        <v>#REF!</v>
      </c>
      <c r="H22" s="133" t="e">
        <f>#REF!*#REF!</f>
        <v>#REF!</v>
      </c>
      <c r="I22" s="133" t="e">
        <f>#REF!*#REF!</f>
        <v>#REF!</v>
      </c>
      <c r="J22" s="134" t="e">
        <f>SUM(E22:I22)</f>
        <v>#REF!</v>
      </c>
      <c r="K22" s="497"/>
      <c r="L22" s="508"/>
      <c r="M22" s="509"/>
      <c r="N22" s="504"/>
      <c r="O22" s="499"/>
      <c r="P22" s="502"/>
      <c r="Q22" s="503"/>
      <c r="W22" s="185"/>
      <c r="X22" s="505"/>
      <c r="Y22" s="111" t="s">
        <v>89</v>
      </c>
      <c r="Z22" s="134" t="e">
        <f t="shared" si="2"/>
        <v>#REF!</v>
      </c>
      <c r="AA22" s="146" t="e">
        <f>#REF!</f>
        <v>#REF!</v>
      </c>
      <c r="AB22" s="149" t="e">
        <f t="shared" si="1"/>
        <v>#REF!</v>
      </c>
    </row>
    <row r="23" spans="2:28" ht="38.25">
      <c r="B23" s="185"/>
      <c r="C23" s="111" t="s">
        <v>90</v>
      </c>
      <c r="D23" s="111" t="s">
        <v>91</v>
      </c>
      <c r="E23" s="133" t="e">
        <f>#REF!*#REF!</f>
        <v>#REF!</v>
      </c>
      <c r="F23" s="133" t="e">
        <f>#REF!*#REF!</f>
        <v>#REF!</v>
      </c>
      <c r="G23" s="133" t="e">
        <f>#REF!*#REF!</f>
        <v>#REF!</v>
      </c>
      <c r="H23" s="133" t="e">
        <f>#REF!*#REF!</f>
        <v>#REF!</v>
      </c>
      <c r="I23" s="133" t="e">
        <f>#REF!*#REF!</f>
        <v>#REF!</v>
      </c>
      <c r="J23" s="134" t="e">
        <f t="shared" si="3"/>
        <v>#REF!</v>
      </c>
      <c r="K23" s="497">
        <v>468000</v>
      </c>
      <c r="L23" s="498" t="e">
        <f>(SUM(J23:J25)-K23)/K23</f>
        <v>#REF!</v>
      </c>
      <c r="M23" s="509"/>
      <c r="N23" s="504"/>
      <c r="O23" s="499" t="s">
        <v>148</v>
      </c>
      <c r="P23" s="500"/>
      <c r="Q23" s="503"/>
      <c r="W23" s="185"/>
      <c r="X23" s="111" t="s">
        <v>90</v>
      </c>
      <c r="Y23" s="111" t="s">
        <v>91</v>
      </c>
      <c r="Z23" s="134" t="e">
        <f t="shared" si="2"/>
        <v>#REF!</v>
      </c>
      <c r="AA23" s="146" t="e">
        <f>#REF!</f>
        <v>#REF!</v>
      </c>
      <c r="AB23" s="149" t="e">
        <f t="shared" si="1"/>
        <v>#REF!</v>
      </c>
    </row>
    <row r="24" spans="2:28" ht="16.5" customHeight="1">
      <c r="B24" s="185"/>
      <c r="C24" s="111" t="s">
        <v>92</v>
      </c>
      <c r="D24" s="111" t="s">
        <v>93</v>
      </c>
      <c r="E24" s="133" t="e">
        <f>#REF!*#REF!</f>
        <v>#REF!</v>
      </c>
      <c r="F24" s="133" t="e">
        <f>#REF!*#REF!</f>
        <v>#REF!</v>
      </c>
      <c r="G24" s="133" t="e">
        <f>#REF!*#REF!</f>
        <v>#REF!</v>
      </c>
      <c r="H24" s="133" t="e">
        <f>#REF!*#REF!</f>
        <v>#REF!</v>
      </c>
      <c r="I24" s="133" t="e">
        <f>#REF!*#REF!</f>
        <v>#REF!</v>
      </c>
      <c r="J24" s="134" t="e">
        <f t="shared" si="3"/>
        <v>#REF!</v>
      </c>
      <c r="K24" s="497"/>
      <c r="L24" s="498"/>
      <c r="M24" s="509"/>
      <c r="N24" s="504"/>
      <c r="O24" s="499"/>
      <c r="P24" s="501"/>
      <c r="Q24" s="503"/>
      <c r="W24" s="185"/>
      <c r="X24" s="111" t="s">
        <v>92</v>
      </c>
      <c r="Y24" s="111" t="s">
        <v>93</v>
      </c>
      <c r="Z24" s="134" t="e">
        <f t="shared" si="2"/>
        <v>#REF!</v>
      </c>
      <c r="AA24" s="146" t="e">
        <f>#REF!</f>
        <v>#REF!</v>
      </c>
      <c r="AB24" s="149" t="e">
        <f t="shared" si="1"/>
        <v>#REF!</v>
      </c>
    </row>
    <row r="25" spans="2:28" ht="38.25">
      <c r="B25" s="185"/>
      <c r="C25" s="111" t="s">
        <v>94</v>
      </c>
      <c r="D25" s="111" t="s">
        <v>93</v>
      </c>
      <c r="E25" s="133" t="e">
        <f>#REF!*#REF!</f>
        <v>#REF!</v>
      </c>
      <c r="F25" s="133" t="e">
        <f>#REF!*#REF!</f>
        <v>#REF!</v>
      </c>
      <c r="G25" s="133" t="e">
        <f>#REF!*#REF!</f>
        <v>#REF!</v>
      </c>
      <c r="H25" s="133" t="e">
        <f>#REF!*#REF!</f>
        <v>#REF!</v>
      </c>
      <c r="I25" s="133" t="e">
        <f>#REF!*#REF!</f>
        <v>#REF!</v>
      </c>
      <c r="J25" s="134" t="e">
        <f t="shared" si="3"/>
        <v>#REF!</v>
      </c>
      <c r="K25" s="497"/>
      <c r="L25" s="498"/>
      <c r="M25" s="187"/>
      <c r="N25" s="153"/>
      <c r="O25" s="499"/>
      <c r="P25" s="502"/>
      <c r="Q25" s="503"/>
      <c r="W25" s="185"/>
      <c r="X25" s="111" t="s">
        <v>94</v>
      </c>
      <c r="Y25" s="111" t="s">
        <v>93</v>
      </c>
      <c r="Z25" s="134" t="e">
        <f t="shared" si="2"/>
        <v>#REF!</v>
      </c>
      <c r="AA25" s="146" t="e">
        <f>#REF!</f>
        <v>#REF!</v>
      </c>
      <c r="AB25" s="149" t="e">
        <f t="shared" si="1"/>
        <v>#REF!</v>
      </c>
    </row>
    <row r="26" spans="2:28" ht="40.5" customHeight="1">
      <c r="B26" s="60"/>
      <c r="C26" s="304" t="s">
        <v>82</v>
      </c>
      <c r="D26" s="118"/>
      <c r="E26" s="135"/>
      <c r="F26" s="135"/>
      <c r="G26" s="135"/>
      <c r="H26" s="135"/>
      <c r="I26" s="135"/>
      <c r="J26" s="136"/>
      <c r="K26" s="137"/>
      <c r="L26" s="141"/>
      <c r="M26" s="164"/>
      <c r="N26" s="165"/>
      <c r="O26" s="119"/>
      <c r="P26" s="120"/>
      <c r="Q26" s="120"/>
      <c r="W26" s="125"/>
      <c r="X26" s="60"/>
      <c r="Y26" s="118"/>
      <c r="Z26" s="136"/>
      <c r="AA26" s="148"/>
      <c r="AB26" s="149"/>
    </row>
    <row r="27" spans="2:28" ht="40.5" customHeight="1">
      <c r="B27" s="175" t="s">
        <v>82</v>
      </c>
      <c r="C27" s="60" t="s">
        <v>110</v>
      </c>
      <c r="D27" s="118" t="s">
        <v>34</v>
      </c>
      <c r="E27" s="135" t="e">
        <f>#REF!*12</f>
        <v>#REF!</v>
      </c>
      <c r="F27" s="135" t="e">
        <f>#REF!*12</f>
        <v>#REF!</v>
      </c>
      <c r="G27" s="135" t="e">
        <f>#REF!*12</f>
        <v>#REF!</v>
      </c>
      <c r="H27" s="135" t="e">
        <f>#REF!*12</f>
        <v>#REF!</v>
      </c>
      <c r="I27" s="135" t="e">
        <f>#REF!*12</f>
        <v>#REF!</v>
      </c>
      <c r="J27" s="136" t="e">
        <f t="shared" si="3"/>
        <v>#REF!</v>
      </c>
      <c r="K27" s="137">
        <v>1497853.2000000002</v>
      </c>
      <c r="L27" s="141" t="e">
        <f>(J27-K27)/K27</f>
        <v>#REF!</v>
      </c>
      <c r="M27" s="180">
        <v>1497853</v>
      </c>
      <c r="N27" s="123" t="e">
        <f>(SUM(J27:J29)-M27)/M27</f>
        <v>#REF!</v>
      </c>
      <c r="O27" s="119" t="s">
        <v>145</v>
      </c>
      <c r="P27" s="120"/>
      <c r="Q27" s="120"/>
      <c r="W27" s="175" t="s">
        <v>82</v>
      </c>
      <c r="X27" s="60" t="s">
        <v>110</v>
      </c>
      <c r="Y27" s="118" t="s">
        <v>34</v>
      </c>
      <c r="Z27" s="136" t="e">
        <f t="shared" si="2"/>
        <v>#REF!</v>
      </c>
      <c r="AA27" s="148" t="e">
        <f>#REF!</f>
        <v>#REF!</v>
      </c>
      <c r="AB27" s="149" t="e">
        <f t="shared" si="1"/>
        <v>#REF!</v>
      </c>
    </row>
    <row r="28" spans="2:28" ht="40.5" customHeight="1">
      <c r="B28" s="175"/>
      <c r="C28" s="60" t="s">
        <v>26</v>
      </c>
      <c r="D28" s="118" t="s">
        <v>105</v>
      </c>
      <c r="E28" s="135" t="e">
        <f>#REF!*#REF!</f>
        <v>#REF!</v>
      </c>
      <c r="F28" s="135" t="e">
        <f>#REF!*#REF!</f>
        <v>#REF!</v>
      </c>
      <c r="G28" s="135" t="e">
        <f>#REF!*#REF!</f>
        <v>#REF!</v>
      </c>
      <c r="H28" s="135" t="e">
        <f>#REF!*#REF!</f>
        <v>#REF!</v>
      </c>
      <c r="I28" s="135" t="e">
        <f>#REF!*#REF!</f>
        <v>#REF!</v>
      </c>
      <c r="J28" s="136" t="e">
        <f>SUM(E28:I28)</f>
        <v>#REF!</v>
      </c>
      <c r="K28" s="137">
        <v>1860328.7999999998</v>
      </c>
      <c r="L28" s="141" t="e">
        <f>(J28-K28)/K28</f>
        <v>#REF!</v>
      </c>
      <c r="M28" s="181"/>
      <c r="N28" s="495"/>
      <c r="O28" s="119" t="s">
        <v>155</v>
      </c>
      <c r="P28" s="120" t="s">
        <v>154</v>
      </c>
      <c r="Q28" s="120"/>
      <c r="W28" s="175"/>
      <c r="X28" s="60" t="s">
        <v>26</v>
      </c>
      <c r="Y28" s="118" t="s">
        <v>105</v>
      </c>
      <c r="Z28" s="136" t="e">
        <f t="shared" si="2"/>
        <v>#REF!</v>
      </c>
      <c r="AA28" s="148" t="e">
        <f>#REF!+#REF!</f>
        <v>#REF!</v>
      </c>
      <c r="AB28" s="149" t="e">
        <f t="shared" si="1"/>
        <v>#REF!</v>
      </c>
    </row>
    <row r="29" spans="2:28" ht="43.5" customHeight="1">
      <c r="B29" s="175"/>
      <c r="C29" s="60" t="s">
        <v>109</v>
      </c>
      <c r="D29" s="118" t="s">
        <v>30</v>
      </c>
      <c r="E29" s="135" t="e">
        <f>#REF!*#REF!</f>
        <v>#REF!</v>
      </c>
      <c r="F29" s="135" t="e">
        <f>#REF!*#REF!</f>
        <v>#REF!</v>
      </c>
      <c r="G29" s="135" t="e">
        <f>#REF!*#REF!</f>
        <v>#REF!</v>
      </c>
      <c r="H29" s="135" t="e">
        <f>#REF!*#REF!</f>
        <v>#REF!</v>
      </c>
      <c r="I29" s="135" t="e">
        <f>#REF!*#REF!</f>
        <v>#REF!</v>
      </c>
      <c r="J29" s="136" t="e">
        <f>SUM(E29:I29)</f>
        <v>#REF!</v>
      </c>
      <c r="K29" s="129" t="s">
        <v>220</v>
      </c>
      <c r="L29" s="142" t="s">
        <v>221</v>
      </c>
      <c r="M29" s="182"/>
      <c r="N29" s="496"/>
      <c r="O29" s="119" t="s">
        <v>157</v>
      </c>
      <c r="P29" s="120" t="s">
        <v>156</v>
      </c>
      <c r="Q29" s="120"/>
      <c r="W29" s="175"/>
      <c r="X29" s="60" t="s">
        <v>109</v>
      </c>
      <c r="Y29" s="118" t="s">
        <v>30</v>
      </c>
      <c r="Z29" s="136" t="e">
        <f t="shared" si="2"/>
        <v>#REF!</v>
      </c>
      <c r="AA29" s="148" t="e">
        <f>#REF!</f>
        <v>#REF!</v>
      </c>
      <c r="AB29" s="149" t="e">
        <f t="shared" si="1"/>
        <v>#REF!</v>
      </c>
    </row>
    <row r="30" spans="2:28" ht="174.75" customHeight="1">
      <c r="B30" s="125"/>
      <c r="C30" s="299" t="s">
        <v>83</v>
      </c>
      <c r="D30" s="109"/>
      <c r="E30" s="133"/>
      <c r="F30" s="133"/>
      <c r="G30" s="133"/>
      <c r="H30" s="133"/>
      <c r="I30" s="133"/>
      <c r="J30" s="134"/>
      <c r="K30" s="138"/>
      <c r="L30" s="143"/>
      <c r="M30" s="156"/>
      <c r="N30" s="159"/>
      <c r="O30" s="110"/>
      <c r="P30" s="112"/>
      <c r="Q30" s="112"/>
      <c r="W30" s="125"/>
      <c r="X30" s="109"/>
      <c r="Y30" s="109"/>
      <c r="Z30" s="134"/>
      <c r="AA30" s="146"/>
      <c r="AB30" s="149"/>
    </row>
    <row r="31" spans="2:28" ht="174.75" customHeight="1">
      <c r="B31" s="125" t="s">
        <v>83</v>
      </c>
      <c r="C31" s="109" t="s">
        <v>27</v>
      </c>
      <c r="D31" s="109" t="s">
        <v>28</v>
      </c>
      <c r="E31" s="133" t="e">
        <f>#REF!</f>
        <v>#REF!</v>
      </c>
      <c r="F31" s="133" t="e">
        <f>#REF!</f>
        <v>#REF!</v>
      </c>
      <c r="G31" s="133" t="e">
        <f>#REF!</f>
        <v>#REF!</v>
      </c>
      <c r="H31" s="133" t="e">
        <f>#REF!</f>
        <v>#REF!</v>
      </c>
      <c r="I31" s="133" t="e">
        <f>#REF!</f>
        <v>#REF!</v>
      </c>
      <c r="J31" s="134" t="e">
        <f>SUM(E31:I31)</f>
        <v>#REF!</v>
      </c>
      <c r="K31" s="138">
        <v>9045000</v>
      </c>
      <c r="L31" s="143" t="e">
        <f>(J31-K31)/K31</f>
        <v>#REF!</v>
      </c>
      <c r="M31" s="156">
        <v>7386750</v>
      </c>
      <c r="N31" s="159" t="e">
        <f>(J31-M31)/M31</f>
        <v>#REF!</v>
      </c>
      <c r="O31" s="110" t="s">
        <v>229</v>
      </c>
      <c r="P31" s="112"/>
      <c r="Q31" s="112"/>
      <c r="W31" s="125" t="s">
        <v>83</v>
      </c>
      <c r="X31" s="109" t="s">
        <v>27</v>
      </c>
      <c r="Y31" s="109" t="s">
        <v>28</v>
      </c>
      <c r="Z31" s="134" t="e">
        <f t="shared" si="2"/>
        <v>#REF!</v>
      </c>
      <c r="AA31" s="146" t="e">
        <f>#REF!</f>
        <v>#REF!</v>
      </c>
      <c r="AB31" s="149" t="e">
        <f>Z31-AA31</f>
        <v>#REF!</v>
      </c>
    </row>
    <row r="32" spans="2:28" ht="61.5" customHeight="1">
      <c r="B32" s="126"/>
      <c r="C32" s="126" t="s">
        <v>0</v>
      </c>
      <c r="D32" s="118"/>
      <c r="E32" s="135"/>
      <c r="F32" s="135"/>
      <c r="G32" s="135"/>
      <c r="H32" s="135"/>
      <c r="I32" s="135"/>
      <c r="J32" s="136"/>
      <c r="K32" s="137"/>
      <c r="L32" s="140"/>
      <c r="M32" s="157"/>
      <c r="N32" s="160"/>
      <c r="O32" s="107"/>
      <c r="P32" s="61"/>
      <c r="Q32" s="120"/>
      <c r="W32" s="126"/>
      <c r="X32" s="118"/>
      <c r="Y32" s="118"/>
      <c r="Z32" s="136"/>
      <c r="AA32" s="148"/>
      <c r="AB32" s="149"/>
    </row>
    <row r="33" spans="2:28" ht="61.5" customHeight="1">
      <c r="B33" s="126" t="s">
        <v>0</v>
      </c>
      <c r="C33" s="118" t="s">
        <v>0</v>
      </c>
      <c r="D33" s="118" t="s">
        <v>30</v>
      </c>
      <c r="E33" s="135" t="e">
        <f>#REF!*#REF!</f>
        <v>#REF!</v>
      </c>
      <c r="F33" s="135" t="e">
        <f>#REF!*#REF!</f>
        <v>#REF!</v>
      </c>
      <c r="G33" s="135" t="e">
        <f>#REF!*#REF!</f>
        <v>#REF!</v>
      </c>
      <c r="H33" s="135" t="e">
        <f>#REF!*#REF!</f>
        <v>#REF!</v>
      </c>
      <c r="I33" s="135" t="e">
        <f>#REF!*#REF!</f>
        <v>#REF!</v>
      </c>
      <c r="J33" s="136" t="e">
        <f>SUM(E33:I33)</f>
        <v>#REF!</v>
      </c>
      <c r="K33" s="137">
        <v>1326000</v>
      </c>
      <c r="L33" s="140" t="e">
        <f>(J33-K33)/K33</f>
        <v>#REF!</v>
      </c>
      <c r="M33" s="157">
        <v>1768000</v>
      </c>
      <c r="N33" s="160" t="e">
        <f>(J33-M33)/M33</f>
        <v>#REF!</v>
      </c>
      <c r="O33" s="107" t="s">
        <v>223</v>
      </c>
      <c r="P33" s="61" t="s">
        <v>224</v>
      </c>
      <c r="Q33" s="120"/>
      <c r="W33" s="126" t="s">
        <v>0</v>
      </c>
      <c r="X33" s="118" t="s">
        <v>0</v>
      </c>
      <c r="Y33" s="118" t="s">
        <v>30</v>
      </c>
      <c r="Z33" s="136" t="e">
        <f t="shared" si="2"/>
        <v>#REF!</v>
      </c>
      <c r="AA33" s="148" t="e">
        <f>#REF!</f>
        <v>#REF!</v>
      </c>
      <c r="AB33" s="149" t="e">
        <f aca="true" t="shared" si="4" ref="AB33:AB51">Z33-AA33</f>
        <v>#REF!</v>
      </c>
    </row>
    <row r="34" spans="2:28" ht="82.5" customHeight="1">
      <c r="B34" s="299"/>
      <c r="C34" s="299" t="s">
        <v>140</v>
      </c>
      <c r="D34" s="109"/>
      <c r="E34" s="133"/>
      <c r="F34" s="133"/>
      <c r="G34" s="133"/>
      <c r="H34" s="133"/>
      <c r="I34" s="133"/>
      <c r="J34" s="134"/>
      <c r="K34" s="138"/>
      <c r="L34" s="144"/>
      <c r="M34" s="156"/>
      <c r="N34" s="161"/>
      <c r="O34" s="110"/>
      <c r="P34" s="111"/>
      <c r="Q34" s="112"/>
      <c r="W34" s="126"/>
      <c r="X34" s="109"/>
      <c r="Y34" s="109"/>
      <c r="Z34" s="134"/>
      <c r="AA34" s="146"/>
      <c r="AB34" s="149"/>
    </row>
    <row r="35" spans="2:28" ht="82.5" customHeight="1">
      <c r="B35" s="185" t="s">
        <v>140</v>
      </c>
      <c r="C35" s="109" t="s">
        <v>55</v>
      </c>
      <c r="D35" s="109" t="s">
        <v>31</v>
      </c>
      <c r="E35" s="133" t="e">
        <f>#REF!*12</f>
        <v>#REF!</v>
      </c>
      <c r="F35" s="133" t="e">
        <f>#REF!*12</f>
        <v>#REF!</v>
      </c>
      <c r="G35" s="133" t="e">
        <f>#REF!*12</f>
        <v>#REF!</v>
      </c>
      <c r="H35" s="133" t="e">
        <f>#REF!*12</f>
        <v>#REF!</v>
      </c>
      <c r="I35" s="133" t="e">
        <f>#REF!*12</f>
        <v>#REF!</v>
      </c>
      <c r="J35" s="134" t="e">
        <f>SUM(E35:I35)</f>
        <v>#REF!</v>
      </c>
      <c r="K35" s="138">
        <v>1842941.16</v>
      </c>
      <c r="L35" s="144" t="e">
        <f>(J35-K35)/K35</f>
        <v>#REF!</v>
      </c>
      <c r="M35" s="156">
        <v>2457255</v>
      </c>
      <c r="N35" s="161" t="e">
        <f>(J35-M35)/M35</f>
        <v>#REF!</v>
      </c>
      <c r="O35" s="110" t="s">
        <v>231</v>
      </c>
      <c r="P35" s="111" t="s">
        <v>249</v>
      </c>
      <c r="Q35" s="112"/>
      <c r="W35" s="185" t="s">
        <v>140</v>
      </c>
      <c r="X35" s="109" t="s">
        <v>55</v>
      </c>
      <c r="Y35" s="109" t="s">
        <v>31</v>
      </c>
      <c r="Z35" s="134" t="e">
        <f t="shared" si="2"/>
        <v>#REF!</v>
      </c>
      <c r="AA35" s="146" t="e">
        <f>#REF!</f>
        <v>#REF!</v>
      </c>
      <c r="AB35" s="149" t="e">
        <f t="shared" si="4"/>
        <v>#REF!</v>
      </c>
    </row>
    <row r="36" spans="2:28" ht="90.75" customHeight="1">
      <c r="B36" s="185"/>
      <c r="C36" s="116" t="s">
        <v>38</v>
      </c>
      <c r="D36" s="117" t="s">
        <v>30</v>
      </c>
      <c r="E36" s="133" t="e">
        <f>SUMPRODUCT(#REF!,#REF!)*12</f>
        <v>#REF!</v>
      </c>
      <c r="F36" s="133" t="e">
        <f>SUMPRODUCT(#REF!,#REF!)*12</f>
        <v>#REF!</v>
      </c>
      <c r="G36" s="133" t="e">
        <f>SUMPRODUCT(#REF!,#REF!)*12</f>
        <v>#REF!</v>
      </c>
      <c r="H36" s="133" t="e">
        <f>SUMPRODUCT(#REF!,#REF!)*12</f>
        <v>#REF!</v>
      </c>
      <c r="I36" s="133" t="e">
        <f>SUMPRODUCT(#REF!,#REF!)*12</f>
        <v>#REF!</v>
      </c>
      <c r="J36" s="134" t="e">
        <f>SUM(E36:I36)</f>
        <v>#REF!</v>
      </c>
      <c r="K36" s="138">
        <v>8165814.8500000015</v>
      </c>
      <c r="L36" s="144" t="e">
        <f>(J36-K36)/K36</f>
        <v>#REF!</v>
      </c>
      <c r="M36" s="186">
        <v>12696655</v>
      </c>
      <c r="N36" s="152" t="e">
        <f>(SUM(J36:J37)-M36)/M36</f>
        <v>#REF!</v>
      </c>
      <c r="O36" s="110" t="s">
        <v>230</v>
      </c>
      <c r="P36" s="154" t="s">
        <v>233</v>
      </c>
      <c r="Q36" s="112"/>
      <c r="W36" s="185"/>
      <c r="X36" s="116" t="s">
        <v>38</v>
      </c>
      <c r="Y36" s="117" t="s">
        <v>30</v>
      </c>
      <c r="Z36" s="134" t="e">
        <f t="shared" si="2"/>
        <v>#REF!</v>
      </c>
      <c r="AA36" s="146" t="e">
        <f>#REF!+#REF!+#REF!</f>
        <v>#REF!</v>
      </c>
      <c r="AB36" s="149" t="e">
        <f t="shared" si="4"/>
        <v>#REF!</v>
      </c>
    </row>
    <row r="37" spans="2:28" ht="84" customHeight="1">
      <c r="B37" s="185"/>
      <c r="C37" s="116" t="s">
        <v>39</v>
      </c>
      <c r="D37" s="117" t="s">
        <v>30</v>
      </c>
      <c r="E37" s="133" t="e">
        <f>#REF!*#REF!*12</f>
        <v>#REF!</v>
      </c>
      <c r="F37" s="133" t="e">
        <f>#REF!*#REF!*12</f>
        <v>#REF!</v>
      </c>
      <c r="G37" s="133" t="e">
        <f>#REF!*#REF!*12</f>
        <v>#REF!</v>
      </c>
      <c r="H37" s="133" t="e">
        <f>#REF!*#REF!*12</f>
        <v>#REF!</v>
      </c>
      <c r="I37" s="133" t="e">
        <f>#REF!*#REF!*12</f>
        <v>#REF!</v>
      </c>
      <c r="J37" s="134" t="e">
        <f>SUM(E37:I37)</f>
        <v>#REF!</v>
      </c>
      <c r="K37" s="138">
        <v>1840430.5920000002</v>
      </c>
      <c r="L37" s="144" t="e">
        <f>(J37-K37)/K37</f>
        <v>#REF!</v>
      </c>
      <c r="M37" s="187"/>
      <c r="N37" s="153"/>
      <c r="O37" s="110" t="s">
        <v>232</v>
      </c>
      <c r="P37" s="155"/>
      <c r="Q37" s="112"/>
      <c r="W37" s="185"/>
      <c r="X37" s="116" t="s">
        <v>39</v>
      </c>
      <c r="Y37" s="117" t="s">
        <v>30</v>
      </c>
      <c r="Z37" s="134" t="e">
        <f t="shared" si="2"/>
        <v>#REF!</v>
      </c>
      <c r="AA37" s="146" t="e">
        <f>#REF!+#REF!</f>
        <v>#REF!</v>
      </c>
      <c r="AB37" s="149" t="e">
        <f t="shared" si="4"/>
        <v>#REF!</v>
      </c>
    </row>
    <row r="38" spans="2:28" ht="43.5" customHeight="1">
      <c r="B38" s="185"/>
      <c r="C38" s="116" t="s">
        <v>127</v>
      </c>
      <c r="D38" s="117" t="s">
        <v>30</v>
      </c>
      <c r="E38" s="133" t="e">
        <f>#REF!*#REF!</f>
        <v>#REF!</v>
      </c>
      <c r="F38" s="133" t="e">
        <f>#REF!*#REF!</f>
        <v>#REF!</v>
      </c>
      <c r="G38" s="133" t="e">
        <f>#REF!*#REF!</f>
        <v>#REF!</v>
      </c>
      <c r="H38" s="133" t="e">
        <f>#REF!*#REF!</f>
        <v>#REF!</v>
      </c>
      <c r="I38" s="133" t="e">
        <f>#REF!*#REF!</f>
        <v>#REF!</v>
      </c>
      <c r="J38" s="134" t="e">
        <f>SUM(E38:I38)</f>
        <v>#REF!</v>
      </c>
      <c r="K38" s="129" t="s">
        <v>220</v>
      </c>
      <c r="L38" s="142" t="s">
        <v>221</v>
      </c>
      <c r="M38" s="158"/>
      <c r="N38" s="151"/>
      <c r="O38" s="115" t="s">
        <v>146</v>
      </c>
      <c r="P38" s="112"/>
      <c r="Q38" s="112"/>
      <c r="W38" s="185"/>
      <c r="X38" s="116" t="s">
        <v>127</v>
      </c>
      <c r="Y38" s="117" t="s">
        <v>30</v>
      </c>
      <c r="Z38" s="134" t="e">
        <f t="shared" si="2"/>
        <v>#REF!</v>
      </c>
      <c r="AA38" s="146" t="e">
        <f>#REF!</f>
        <v>#REF!</v>
      </c>
      <c r="AB38" s="149" t="e">
        <f t="shared" si="4"/>
        <v>#REF!</v>
      </c>
    </row>
    <row r="39" spans="2:28" ht="43.5" customHeight="1">
      <c r="B39" s="125"/>
      <c r="C39" s="308" t="s">
        <v>61</v>
      </c>
      <c r="D39" s="117"/>
      <c r="E39" s="133"/>
      <c r="F39" s="133"/>
      <c r="G39" s="133"/>
      <c r="H39" s="133"/>
      <c r="I39" s="133"/>
      <c r="J39" s="134"/>
      <c r="K39" s="129"/>
      <c r="L39" s="142"/>
      <c r="M39" s="158"/>
      <c r="N39" s="151"/>
      <c r="O39" s="115"/>
      <c r="P39" s="112"/>
      <c r="Q39" s="112"/>
      <c r="W39" s="125"/>
      <c r="X39" s="116"/>
      <c r="Y39" s="117"/>
      <c r="Z39" s="134"/>
      <c r="AA39" s="146"/>
      <c r="AB39" s="149"/>
    </row>
    <row r="40" spans="2:28" ht="114.75">
      <c r="B40" s="173" t="s">
        <v>61</v>
      </c>
      <c r="C40" s="116" t="s">
        <v>60</v>
      </c>
      <c r="D40" s="117" t="s">
        <v>30</v>
      </c>
      <c r="E40" s="133" t="e">
        <f>#REF!*#REF!*12</f>
        <v>#REF!</v>
      </c>
      <c r="F40" s="133" t="e">
        <f>#REF!*#REF!*12</f>
        <v>#REF!</v>
      </c>
      <c r="G40" s="133" t="e">
        <f>#REF!*#REF!*12</f>
        <v>#REF!</v>
      </c>
      <c r="H40" s="133" t="e">
        <f>#REF!*#REF!*12</f>
        <v>#REF!</v>
      </c>
      <c r="I40" s="133" t="e">
        <f>#REF!*#REF!*12</f>
        <v>#REF!</v>
      </c>
      <c r="J40" s="134" t="e">
        <f>SUM(E40:I40)</f>
        <v>#REF!</v>
      </c>
      <c r="K40" s="138">
        <v>2054736</v>
      </c>
      <c r="L40" s="144" t="e">
        <f>(J40-K40)/K40</f>
        <v>#REF!</v>
      </c>
      <c r="M40" s="156">
        <v>2739800</v>
      </c>
      <c r="N40" s="161" t="e">
        <f>(J40-M40)/M40</f>
        <v>#REF!</v>
      </c>
      <c r="O40" s="110" t="s">
        <v>239</v>
      </c>
      <c r="P40" s="110" t="s">
        <v>240</v>
      </c>
      <c r="Q40" s="112"/>
      <c r="W40" s="173" t="s">
        <v>61</v>
      </c>
      <c r="X40" s="116" t="s">
        <v>60</v>
      </c>
      <c r="Y40" s="117" t="s">
        <v>30</v>
      </c>
      <c r="Z40" s="134" t="e">
        <f t="shared" si="2"/>
        <v>#REF!</v>
      </c>
      <c r="AA40" s="146" t="e">
        <f>#REF!</f>
        <v>#REF!</v>
      </c>
      <c r="AB40" s="149" t="e">
        <f t="shared" si="4"/>
        <v>#REF!</v>
      </c>
    </row>
    <row r="41" spans="2:28" ht="51.75" customHeight="1">
      <c r="B41" s="174"/>
      <c r="C41" s="116" t="s">
        <v>175</v>
      </c>
      <c r="D41" s="117" t="s">
        <v>30</v>
      </c>
      <c r="E41" s="133" t="e">
        <f>#REF!*#REF!</f>
        <v>#REF!</v>
      </c>
      <c r="F41" s="133" t="e">
        <f>#REF!*#REF!</f>
        <v>#REF!</v>
      </c>
      <c r="G41" s="133" t="e">
        <f>#REF!*#REF!</f>
        <v>#REF!</v>
      </c>
      <c r="H41" s="133" t="e">
        <f>#REF!*#REF!</f>
        <v>#REF!</v>
      </c>
      <c r="I41" s="133" t="e">
        <f>#REF!*#REF!</f>
        <v>#REF!</v>
      </c>
      <c r="J41" s="134" t="e">
        <f>SUM(E41:I41)</f>
        <v>#REF!</v>
      </c>
      <c r="K41" s="129" t="s">
        <v>220</v>
      </c>
      <c r="L41" s="142" t="s">
        <v>221</v>
      </c>
      <c r="M41" s="158"/>
      <c r="N41" s="151"/>
      <c r="O41" s="110" t="s">
        <v>234</v>
      </c>
      <c r="P41" s="112"/>
      <c r="Q41" s="112"/>
      <c r="W41" s="174"/>
      <c r="X41" s="116" t="s">
        <v>175</v>
      </c>
      <c r="Y41" s="117" t="s">
        <v>30</v>
      </c>
      <c r="Z41" s="134" t="e">
        <f t="shared" si="2"/>
        <v>#REF!</v>
      </c>
      <c r="AA41" s="146" t="e">
        <f>#REF!</f>
        <v>#REF!</v>
      </c>
      <c r="AB41" s="149" t="e">
        <f t="shared" si="4"/>
        <v>#REF!</v>
      </c>
    </row>
    <row r="42" spans="2:28" ht="54" customHeight="1">
      <c r="B42" s="305"/>
      <c r="C42" s="305" t="s">
        <v>33</v>
      </c>
      <c r="D42" s="118"/>
      <c r="E42" s="135"/>
      <c r="F42" s="135"/>
      <c r="G42" s="135"/>
      <c r="H42" s="135"/>
      <c r="I42" s="135"/>
      <c r="J42" s="136"/>
      <c r="K42" s="137"/>
      <c r="L42" s="141"/>
      <c r="M42" s="157"/>
      <c r="N42" s="160"/>
      <c r="O42" s="107"/>
      <c r="P42" s="120"/>
      <c r="Q42" s="120"/>
      <c r="W42" s="189"/>
      <c r="X42" s="121"/>
      <c r="Y42" s="118"/>
      <c r="Z42" s="136"/>
      <c r="AA42" s="148"/>
      <c r="AB42" s="149"/>
    </row>
    <row r="43" spans="2:28" ht="54" customHeight="1">
      <c r="B43" s="175" t="s">
        <v>33</v>
      </c>
      <c r="C43" s="121" t="s">
        <v>102</v>
      </c>
      <c r="D43" s="118" t="s">
        <v>34</v>
      </c>
      <c r="E43" s="135" t="e">
        <f>#REF!*12</f>
        <v>#REF!</v>
      </c>
      <c r="F43" s="135" t="e">
        <f>#REF!*12</f>
        <v>#REF!</v>
      </c>
      <c r="G43" s="135" t="e">
        <f>#REF!*12</f>
        <v>#REF!</v>
      </c>
      <c r="H43" s="135" t="e">
        <f>#REF!*12</f>
        <v>#REF!</v>
      </c>
      <c r="I43" s="135" t="e">
        <f>#REF!*12</f>
        <v>#REF!</v>
      </c>
      <c r="J43" s="136" t="e">
        <f>SUM(E43:I43)</f>
        <v>#REF!</v>
      </c>
      <c r="K43" s="137">
        <v>2336400</v>
      </c>
      <c r="L43" s="141" t="e">
        <f>(J43-K43)/K43</f>
        <v>#REF!</v>
      </c>
      <c r="M43" s="157">
        <v>2336400</v>
      </c>
      <c r="N43" s="160" t="e">
        <f>(J43-M43)/M43</f>
        <v>#REF!</v>
      </c>
      <c r="O43" s="107" t="s">
        <v>236</v>
      </c>
      <c r="P43" s="120"/>
      <c r="Q43" s="120"/>
      <c r="W43" s="175" t="s">
        <v>33</v>
      </c>
      <c r="X43" s="121" t="s">
        <v>102</v>
      </c>
      <c r="Y43" s="118" t="s">
        <v>34</v>
      </c>
      <c r="Z43" s="136" t="e">
        <f t="shared" si="2"/>
        <v>#REF!</v>
      </c>
      <c r="AA43" s="148" t="e">
        <f>#REF!</f>
        <v>#REF!</v>
      </c>
      <c r="AB43" s="149" t="e">
        <f t="shared" si="4"/>
        <v>#REF!</v>
      </c>
    </row>
    <row r="44" spans="2:28" ht="45" customHeight="1">
      <c r="B44" s="175"/>
      <c r="C44" s="121" t="s">
        <v>103</v>
      </c>
      <c r="D44" s="122" t="s">
        <v>30</v>
      </c>
      <c r="E44" s="135" t="e">
        <f>#REF!*#REF!</f>
        <v>#REF!</v>
      </c>
      <c r="F44" s="135" t="e">
        <f>#REF!*#REF!</f>
        <v>#REF!</v>
      </c>
      <c r="G44" s="135" t="e">
        <f>#REF!*#REF!</f>
        <v>#REF!</v>
      </c>
      <c r="H44" s="135" t="e">
        <f>#REF!*#REF!</f>
        <v>#REF!</v>
      </c>
      <c r="I44" s="135" t="e">
        <f>#REF!*#REF!</f>
        <v>#REF!</v>
      </c>
      <c r="J44" s="136" t="e">
        <f>SUM(E44:I44)</f>
        <v>#REF!</v>
      </c>
      <c r="K44" s="129" t="s">
        <v>220</v>
      </c>
      <c r="L44" s="142" t="s">
        <v>221</v>
      </c>
      <c r="M44" s="158"/>
      <c r="N44" s="151"/>
      <c r="O44" s="119"/>
      <c r="P44" s="120"/>
      <c r="Q44" s="120"/>
      <c r="W44" s="175"/>
      <c r="X44" s="121" t="s">
        <v>103</v>
      </c>
      <c r="Y44" s="122" t="s">
        <v>30</v>
      </c>
      <c r="Z44" s="136" t="e">
        <f t="shared" si="2"/>
        <v>#REF!</v>
      </c>
      <c r="AA44" s="148" t="e">
        <f>#REF!</f>
        <v>#REF!</v>
      </c>
      <c r="AB44" s="149" t="e">
        <f t="shared" si="4"/>
        <v>#REF!</v>
      </c>
    </row>
    <row r="45" spans="2:28" ht="56.25" customHeight="1">
      <c r="B45" s="175"/>
      <c r="C45" s="121" t="s">
        <v>104</v>
      </c>
      <c r="D45" s="122" t="s">
        <v>31</v>
      </c>
      <c r="E45" s="135" t="e">
        <f>#REF!*12</f>
        <v>#REF!</v>
      </c>
      <c r="F45" s="135" t="e">
        <f>E45</f>
        <v>#REF!</v>
      </c>
      <c r="G45" s="135" t="e">
        <f>F45</f>
        <v>#REF!</v>
      </c>
      <c r="H45" s="135" t="e">
        <f>G45</f>
        <v>#REF!</v>
      </c>
      <c r="I45" s="135" t="e">
        <f>H45</f>
        <v>#REF!</v>
      </c>
      <c r="J45" s="136" t="e">
        <f>SUM(E45:I45)</f>
        <v>#REF!</v>
      </c>
      <c r="K45" s="137">
        <v>150000</v>
      </c>
      <c r="L45" s="141" t="e">
        <f>(J45-K45)/K45</f>
        <v>#REF!</v>
      </c>
      <c r="M45" s="157">
        <v>150000</v>
      </c>
      <c r="N45" s="160" t="e">
        <f>(J45-M45)/M45</f>
        <v>#REF!</v>
      </c>
      <c r="O45" s="107" t="s">
        <v>235</v>
      </c>
      <c r="P45" s="120"/>
      <c r="Q45" s="120"/>
      <c r="W45" s="175"/>
      <c r="X45" s="121" t="s">
        <v>104</v>
      </c>
      <c r="Y45" s="122" t="s">
        <v>31</v>
      </c>
      <c r="Z45" s="136" t="e">
        <f t="shared" si="2"/>
        <v>#REF!</v>
      </c>
      <c r="AA45" s="148" t="e">
        <f>#REF!</f>
        <v>#REF!</v>
      </c>
      <c r="AB45" s="149" t="e">
        <f t="shared" si="4"/>
        <v>#REF!</v>
      </c>
    </row>
    <row r="46" spans="2:28" ht="104.25" customHeight="1">
      <c r="B46" s="127" t="s">
        <v>84</v>
      </c>
      <c r="C46" s="116" t="s">
        <v>36</v>
      </c>
      <c r="D46" s="109" t="s">
        <v>35</v>
      </c>
      <c r="E46" s="133" t="e">
        <f>#REF!*#REF!</f>
        <v>#REF!</v>
      </c>
      <c r="F46" s="133" t="e">
        <f>#REF!*#REF!</f>
        <v>#REF!</v>
      </c>
      <c r="G46" s="133" t="e">
        <f>#REF!*#REF!</f>
        <v>#REF!</v>
      </c>
      <c r="H46" s="133" t="e">
        <f>#REF!*#REF!</f>
        <v>#REF!</v>
      </c>
      <c r="I46" s="133" t="e">
        <f>#REF!*#REF!</f>
        <v>#REF!</v>
      </c>
      <c r="J46" s="134" t="e">
        <f>SUM(E46:I46)</f>
        <v>#REF!</v>
      </c>
      <c r="K46" s="138">
        <v>64530</v>
      </c>
      <c r="L46" s="144" t="e">
        <f>(J46-K46)/K46</f>
        <v>#REF!</v>
      </c>
      <c r="M46" s="156">
        <v>64530</v>
      </c>
      <c r="N46" s="161" t="e">
        <f>(J46-M46)/M46</f>
        <v>#REF!</v>
      </c>
      <c r="O46" s="110" t="s">
        <v>237</v>
      </c>
      <c r="P46" s="112"/>
      <c r="Q46" s="112"/>
      <c r="W46" s="127" t="s">
        <v>84</v>
      </c>
      <c r="X46" s="116" t="s">
        <v>36</v>
      </c>
      <c r="Y46" s="109" t="s">
        <v>35</v>
      </c>
      <c r="Z46" s="134" t="e">
        <f t="shared" si="2"/>
        <v>#REF!</v>
      </c>
      <c r="AA46" s="146" t="e">
        <f>#REF!</f>
        <v>#REF!</v>
      </c>
      <c r="AB46" s="149" t="e">
        <f t="shared" si="4"/>
        <v>#REF!</v>
      </c>
    </row>
    <row r="47" spans="2:28" ht="25.5" customHeight="1">
      <c r="B47" s="307"/>
      <c r="C47" s="307" t="s">
        <v>40</v>
      </c>
      <c r="D47" s="122"/>
      <c r="E47" s="135"/>
      <c r="F47" s="135"/>
      <c r="G47" s="135"/>
      <c r="H47" s="135"/>
      <c r="I47" s="135"/>
      <c r="J47" s="136"/>
      <c r="K47" s="166"/>
      <c r="L47" s="144"/>
      <c r="M47" s="163"/>
      <c r="N47" s="306"/>
      <c r="O47" s="110"/>
      <c r="P47" s="112"/>
      <c r="Q47" s="112"/>
      <c r="W47" s="127"/>
      <c r="X47" s="124"/>
      <c r="Y47" s="122"/>
      <c r="Z47" s="136"/>
      <c r="AA47" s="148"/>
      <c r="AB47" s="149"/>
    </row>
    <row r="48" spans="2:28" ht="25.5" customHeight="1">
      <c r="B48" s="172" t="s">
        <v>40</v>
      </c>
      <c r="C48" s="124" t="s">
        <v>169</v>
      </c>
      <c r="D48" s="122" t="s">
        <v>30</v>
      </c>
      <c r="E48" s="135" t="e">
        <f>#REF!*#REF!</f>
        <v>#REF!</v>
      </c>
      <c r="F48" s="135" t="e">
        <f>#REF!*#REF!</f>
        <v>#REF!</v>
      </c>
      <c r="G48" s="135" t="e">
        <f>#REF!*#REF!</f>
        <v>#REF!</v>
      </c>
      <c r="H48" s="135" t="e">
        <f>#REF!*#REF!</f>
        <v>#REF!</v>
      </c>
      <c r="I48" s="135" t="e">
        <f>#REF!*#REF!</f>
        <v>#REF!</v>
      </c>
      <c r="J48" s="136" t="e">
        <f>SUM(E48:I48)</f>
        <v>#REF!</v>
      </c>
      <c r="K48" s="176">
        <v>360000</v>
      </c>
      <c r="L48" s="179" t="e">
        <f>(SUM(J48:J51)-K48)/K48</f>
        <v>#REF!</v>
      </c>
      <c r="M48" s="180">
        <v>498600</v>
      </c>
      <c r="N48" s="183" t="e">
        <f>(SUM(J48:J51)-M48)/M48</f>
        <v>#REF!</v>
      </c>
      <c r="O48" s="184" t="s">
        <v>143</v>
      </c>
      <c r="P48" s="170" t="s">
        <v>173</v>
      </c>
      <c r="Q48" s="171"/>
      <c r="W48" s="172" t="s">
        <v>40</v>
      </c>
      <c r="X48" s="124" t="s">
        <v>169</v>
      </c>
      <c r="Y48" s="122" t="s">
        <v>30</v>
      </c>
      <c r="Z48" s="136" t="e">
        <f t="shared" si="2"/>
        <v>#REF!</v>
      </c>
      <c r="AA48" s="148" t="e">
        <f>#REF!</f>
        <v>#REF!</v>
      </c>
      <c r="AB48" s="149" t="e">
        <f t="shared" si="4"/>
        <v>#REF!</v>
      </c>
    </row>
    <row r="49" spans="2:28" ht="24" customHeight="1">
      <c r="B49" s="172"/>
      <c r="C49" s="124" t="s">
        <v>170</v>
      </c>
      <c r="D49" s="122" t="s">
        <v>30</v>
      </c>
      <c r="E49" s="135" t="e">
        <f>#REF!*#REF!</f>
        <v>#REF!</v>
      </c>
      <c r="F49" s="135" t="e">
        <f>#REF!*#REF!</f>
        <v>#REF!</v>
      </c>
      <c r="G49" s="135" t="e">
        <f>#REF!*#REF!</f>
        <v>#REF!</v>
      </c>
      <c r="H49" s="135" t="e">
        <f>#REF!*#REF!</f>
        <v>#REF!</v>
      </c>
      <c r="I49" s="135" t="e">
        <f>#REF!*#REF!</f>
        <v>#REF!</v>
      </c>
      <c r="J49" s="136" t="e">
        <f>SUM(E49:I49)</f>
        <v>#REF!</v>
      </c>
      <c r="K49" s="177"/>
      <c r="L49" s="179"/>
      <c r="M49" s="181"/>
      <c r="N49" s="181"/>
      <c r="O49" s="184"/>
      <c r="P49" s="170"/>
      <c r="Q49" s="171"/>
      <c r="W49" s="172"/>
      <c r="X49" s="124" t="s">
        <v>170</v>
      </c>
      <c r="Y49" s="122" t="s">
        <v>30</v>
      </c>
      <c r="Z49" s="136" t="e">
        <f t="shared" si="2"/>
        <v>#REF!</v>
      </c>
      <c r="AA49" s="148" t="e">
        <f>#REF!</f>
        <v>#REF!</v>
      </c>
      <c r="AB49" s="149" t="e">
        <f t="shared" si="4"/>
        <v>#REF!</v>
      </c>
    </row>
    <row r="50" spans="2:28" ht="26.25" customHeight="1">
      <c r="B50" s="172"/>
      <c r="C50" s="124" t="s">
        <v>171</v>
      </c>
      <c r="D50" s="122" t="s">
        <v>30</v>
      </c>
      <c r="E50" s="135" t="e">
        <f>#REF!*#REF!</f>
        <v>#REF!</v>
      </c>
      <c r="F50" s="135" t="e">
        <f>#REF!*#REF!</f>
        <v>#REF!</v>
      </c>
      <c r="G50" s="135" t="e">
        <f>#REF!*#REF!</f>
        <v>#REF!</v>
      </c>
      <c r="H50" s="135" t="e">
        <f>#REF!*#REF!</f>
        <v>#REF!</v>
      </c>
      <c r="I50" s="135" t="e">
        <f>#REF!*#REF!</f>
        <v>#REF!</v>
      </c>
      <c r="J50" s="136" t="e">
        <f>SUM(E50:I50)</f>
        <v>#REF!</v>
      </c>
      <c r="K50" s="177"/>
      <c r="L50" s="179"/>
      <c r="M50" s="181"/>
      <c r="N50" s="181"/>
      <c r="O50" s="184"/>
      <c r="P50" s="170"/>
      <c r="Q50" s="171"/>
      <c r="W50" s="172"/>
      <c r="X50" s="124" t="s">
        <v>171</v>
      </c>
      <c r="Y50" s="122" t="s">
        <v>30</v>
      </c>
      <c r="Z50" s="136" t="e">
        <f t="shared" si="2"/>
        <v>#REF!</v>
      </c>
      <c r="AA50" s="148" t="e">
        <f>#REF!</f>
        <v>#REF!</v>
      </c>
      <c r="AB50" s="149" t="e">
        <f t="shared" si="4"/>
        <v>#REF!</v>
      </c>
    </row>
    <row r="51" spans="2:28" ht="25.5" customHeight="1">
      <c r="B51" s="172"/>
      <c r="C51" s="124" t="s">
        <v>172</v>
      </c>
      <c r="D51" s="122" t="s">
        <v>30</v>
      </c>
      <c r="E51" s="135" t="e">
        <f>#REF!*#REF!</f>
        <v>#REF!</v>
      </c>
      <c r="F51" s="135" t="e">
        <f>#REF!*#REF!</f>
        <v>#REF!</v>
      </c>
      <c r="G51" s="135" t="e">
        <f>#REF!*#REF!</f>
        <v>#REF!</v>
      </c>
      <c r="H51" s="135" t="e">
        <f>#REF!*#REF!</f>
        <v>#REF!</v>
      </c>
      <c r="I51" s="135" t="e">
        <f>#REF!*#REF!</f>
        <v>#REF!</v>
      </c>
      <c r="J51" s="136" t="e">
        <f>SUM(E51:I51)</f>
        <v>#REF!</v>
      </c>
      <c r="K51" s="178"/>
      <c r="L51" s="179"/>
      <c r="M51" s="182"/>
      <c r="N51" s="182"/>
      <c r="O51" s="184"/>
      <c r="P51" s="170"/>
      <c r="Q51" s="171"/>
      <c r="W51" s="172"/>
      <c r="X51" s="124" t="s">
        <v>172</v>
      </c>
      <c r="Y51" s="122" t="s">
        <v>30</v>
      </c>
      <c r="Z51" s="136" t="e">
        <f t="shared" si="2"/>
        <v>#REF!</v>
      </c>
      <c r="AA51" s="148" t="e">
        <f>#REF!</f>
        <v>#REF!</v>
      </c>
      <c r="AB51" s="149" t="e">
        <f t="shared" si="4"/>
        <v>#REF!</v>
      </c>
    </row>
    <row r="52" spans="2:27" ht="12.75">
      <c r="B52" s="47"/>
      <c r="C52" s="47"/>
      <c r="D52" s="47"/>
      <c r="E52" s="48"/>
      <c r="F52" s="48"/>
      <c r="G52" s="48"/>
      <c r="H52" s="48"/>
      <c r="I52" s="48"/>
      <c r="J52" s="49"/>
      <c r="Z52" s="49"/>
      <c r="AA52" s="49"/>
    </row>
    <row r="53" spans="2:27" ht="31.5" customHeight="1">
      <c r="B53" s="50"/>
      <c r="C53" s="50"/>
      <c r="D53" s="50"/>
      <c r="E53" s="51"/>
      <c r="F53" s="51"/>
      <c r="G53" s="52"/>
      <c r="H53" s="53"/>
      <c r="I53" s="128" t="s">
        <v>222</v>
      </c>
      <c r="J53" s="139" t="e">
        <f>SUM(J8:J51)</f>
        <v>#REF!</v>
      </c>
      <c r="Z53" s="139" t="e">
        <f>SUM(Z8:Z51)</f>
        <v>#REF!</v>
      </c>
      <c r="AA53" s="147" t="e">
        <f>SUM(AA8:AA51)</f>
        <v>#REF!</v>
      </c>
    </row>
    <row r="54" ht="12.75">
      <c r="J54" s="104"/>
    </row>
  </sheetData>
  <sheetProtection/>
  <mergeCells count="53">
    <mergeCell ref="M27:M29"/>
    <mergeCell ref="N27:N29"/>
    <mergeCell ref="M18:M19"/>
    <mergeCell ref="N18:N19"/>
    <mergeCell ref="M21:M25"/>
    <mergeCell ref="N21:N25"/>
    <mergeCell ref="B21:B25"/>
    <mergeCell ref="B27:B29"/>
    <mergeCell ref="K21:K22"/>
    <mergeCell ref="K23:K25"/>
    <mergeCell ref="C21:C22"/>
    <mergeCell ref="Q12:Q16"/>
    <mergeCell ref="P21:P22"/>
    <mergeCell ref="B8:B16"/>
    <mergeCell ref="P36:P37"/>
    <mergeCell ref="L23:L25"/>
    <mergeCell ref="L21:L22"/>
    <mergeCell ref="B18:B19"/>
    <mergeCell ref="O21:O22"/>
    <mergeCell ref="O23:O25"/>
    <mergeCell ref="B35:B38"/>
    <mergeCell ref="O12:O16"/>
    <mergeCell ref="M8:M16"/>
    <mergeCell ref="N8:N16"/>
    <mergeCell ref="P12:P16"/>
    <mergeCell ref="K8:K9"/>
    <mergeCell ref="L8:L9"/>
    <mergeCell ref="K12:K16"/>
    <mergeCell ref="L12:L16"/>
    <mergeCell ref="P48:P51"/>
    <mergeCell ref="M36:M37"/>
    <mergeCell ref="N36:N37"/>
    <mergeCell ref="M48:M51"/>
    <mergeCell ref="N48:N51"/>
    <mergeCell ref="Q48:Q51"/>
    <mergeCell ref="Q21:Q22"/>
    <mergeCell ref="Q23:Q25"/>
    <mergeCell ref="B43:B45"/>
    <mergeCell ref="B40:B41"/>
    <mergeCell ref="P23:P25"/>
    <mergeCell ref="B48:B51"/>
    <mergeCell ref="K48:K51"/>
    <mergeCell ref="L48:L51"/>
    <mergeCell ref="O48:O51"/>
    <mergeCell ref="X21:X22"/>
    <mergeCell ref="W27:W29"/>
    <mergeCell ref="W35:W38"/>
    <mergeCell ref="W40:W41"/>
    <mergeCell ref="W48:W51"/>
    <mergeCell ref="W8:W16"/>
    <mergeCell ref="W18:W19"/>
    <mergeCell ref="W21:W25"/>
    <mergeCell ref="W43:W4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50"/>
  <sheetViews>
    <sheetView zoomScalePageLayoutView="0" workbookViewId="0" topLeftCell="A4">
      <selection activeCell="G22" sqref="G22"/>
    </sheetView>
  </sheetViews>
  <sheetFormatPr defaultColWidth="8.8515625" defaultRowHeight="12.75"/>
  <cols>
    <col min="1" max="1" width="38.421875" style="12" bestFit="1" customWidth="1"/>
    <col min="2" max="2" width="20.421875" style="12" bestFit="1" customWidth="1"/>
    <col min="3" max="3" width="17.00390625" style="12" customWidth="1"/>
    <col min="4" max="4" width="29.8515625" style="12" bestFit="1" customWidth="1"/>
    <col min="5" max="6" width="17.421875" style="12" bestFit="1" customWidth="1"/>
    <col min="7" max="7" width="16.140625" style="12" bestFit="1" customWidth="1"/>
    <col min="8" max="8" width="53.7109375" style="12" customWidth="1"/>
    <col min="9" max="16384" width="8.8515625" style="12" customWidth="1"/>
  </cols>
  <sheetData>
    <row r="1" ht="18">
      <c r="A1" s="351" t="s">
        <v>489</v>
      </c>
    </row>
    <row r="2" ht="12.75"/>
    <row r="3" ht="13.5" thickBot="1"/>
    <row r="4" spans="1:8" ht="39" thickBot="1">
      <c r="A4" s="352" t="s">
        <v>490</v>
      </c>
      <c r="B4" s="352" t="s">
        <v>491</v>
      </c>
      <c r="C4" s="353" t="s">
        <v>492</v>
      </c>
      <c r="D4" s="353" t="s">
        <v>493</v>
      </c>
      <c r="E4" s="352" t="s">
        <v>494</v>
      </c>
      <c r="F4" s="354" t="s">
        <v>495</v>
      </c>
      <c r="G4" s="354" t="s">
        <v>496</v>
      </c>
      <c r="H4" s="354" t="s">
        <v>497</v>
      </c>
    </row>
    <row r="5" spans="1:8" ht="77.25" thickBot="1">
      <c r="A5" s="355" t="s">
        <v>498</v>
      </c>
      <c r="B5" s="356">
        <v>7789432.02220706</v>
      </c>
      <c r="C5" s="357">
        <v>595111.1</v>
      </c>
      <c r="D5" s="357">
        <f>+C5+B5</f>
        <v>8384543.1222070595</v>
      </c>
      <c r="E5" s="356">
        <v>12336827.945833333</v>
      </c>
      <c r="F5" s="358">
        <f>+D5+E5</f>
        <v>20721371.068040393</v>
      </c>
      <c r="G5" s="359">
        <v>2173250</v>
      </c>
      <c r="H5" s="360" t="s">
        <v>499</v>
      </c>
    </row>
    <row r="6" spans="1:8" ht="13.5" thickBot="1">
      <c r="A6" s="361" t="s">
        <v>500</v>
      </c>
      <c r="B6" s="362">
        <v>1389129.0108696</v>
      </c>
      <c r="C6" s="363">
        <f>316552+365000</f>
        <v>681552</v>
      </c>
      <c r="D6" s="363">
        <f>+C6+B6</f>
        <v>2070681.0108696</v>
      </c>
      <c r="E6" s="356">
        <v>5828216.85909</v>
      </c>
      <c r="F6" s="364">
        <f aca="true" t="shared" si="0" ref="F6:F21">+D6+E6</f>
        <v>7898897.8699596</v>
      </c>
      <c r="G6" s="365">
        <v>1505000</v>
      </c>
      <c r="H6" s="366" t="s">
        <v>501</v>
      </c>
    </row>
    <row r="7" spans="1:8" ht="13.5" thickBot="1">
      <c r="A7" s="361" t="s">
        <v>502</v>
      </c>
      <c r="B7" s="367"/>
      <c r="C7" s="368"/>
      <c r="D7" s="368"/>
      <c r="E7" s="369"/>
      <c r="F7" s="370"/>
      <c r="G7" s="371">
        <v>935000</v>
      </c>
      <c r="H7" s="372"/>
    </row>
    <row r="8" spans="1:8" ht="13.5" thickBot="1">
      <c r="A8" s="361" t="s">
        <v>503</v>
      </c>
      <c r="B8" s="373"/>
      <c r="C8" s="374"/>
      <c r="D8" s="374"/>
      <c r="E8" s="375"/>
      <c r="F8" s="376"/>
      <c r="G8" s="377">
        <v>173100</v>
      </c>
      <c r="H8" s="378"/>
    </row>
    <row r="9" spans="1:8" ht="13.5" thickBot="1">
      <c r="A9" s="355" t="s">
        <v>504</v>
      </c>
      <c r="B9" s="375">
        <v>1497852.9</v>
      </c>
      <c r="C9" s="379">
        <v>88336.9</v>
      </c>
      <c r="D9" s="379">
        <f aca="true" t="shared" si="1" ref="D9:D21">+C9+B9</f>
        <v>1586189.7999999998</v>
      </c>
      <c r="E9" s="375">
        <v>683555.1171999997</v>
      </c>
      <c r="F9" s="358">
        <f t="shared" si="0"/>
        <v>2269744.9171999996</v>
      </c>
      <c r="G9" s="380">
        <v>1440415.45</v>
      </c>
      <c r="H9" s="381" t="s">
        <v>501</v>
      </c>
    </row>
    <row r="10" spans="1:8" ht="13.5" thickBot="1">
      <c r="A10" s="355" t="s">
        <v>81</v>
      </c>
      <c r="B10" s="382">
        <v>1257876</v>
      </c>
      <c r="C10" s="383"/>
      <c r="D10" s="383">
        <f t="shared" si="1"/>
        <v>1257876</v>
      </c>
      <c r="E10" s="382">
        <v>203365.72399999993</v>
      </c>
      <c r="F10" s="358">
        <f t="shared" si="0"/>
        <v>1461241.724</v>
      </c>
      <c r="G10" s="384">
        <v>1278810</v>
      </c>
      <c r="H10" s="385" t="s">
        <v>505</v>
      </c>
    </row>
    <row r="11" spans="1:8" ht="13.5" thickBot="1">
      <c r="A11" s="355" t="s">
        <v>506</v>
      </c>
      <c r="B11" s="382">
        <v>7386750</v>
      </c>
      <c r="C11" s="383">
        <v>-1000000</v>
      </c>
      <c r="D11" s="383">
        <f t="shared" si="1"/>
        <v>6386750</v>
      </c>
      <c r="E11" s="382">
        <v>351308</v>
      </c>
      <c r="F11" s="358">
        <f t="shared" si="0"/>
        <v>6738058</v>
      </c>
      <c r="G11" s="384">
        <v>6546128.7</v>
      </c>
      <c r="H11" s="385" t="s">
        <v>507</v>
      </c>
    </row>
    <row r="12" spans="1:8" ht="26.25" thickBot="1">
      <c r="A12" s="355" t="s">
        <v>33</v>
      </c>
      <c r="B12" s="382">
        <v>2336400</v>
      </c>
      <c r="C12" s="383"/>
      <c r="D12" s="383">
        <f t="shared" si="1"/>
        <v>2336400</v>
      </c>
      <c r="E12" s="382">
        <v>0</v>
      </c>
      <c r="F12" s="358">
        <f t="shared" si="0"/>
        <v>2336400</v>
      </c>
      <c r="G12" s="384">
        <v>1271875</v>
      </c>
      <c r="H12" s="385" t="s">
        <v>508</v>
      </c>
    </row>
    <row r="13" spans="1:8" ht="13.5" thickBot="1">
      <c r="A13" s="355" t="s">
        <v>0</v>
      </c>
      <c r="B13" s="382">
        <v>1768000</v>
      </c>
      <c r="C13" s="383">
        <v>-443419</v>
      </c>
      <c r="D13" s="383">
        <f t="shared" si="1"/>
        <v>1324581</v>
      </c>
      <c r="E13" s="382">
        <v>0</v>
      </c>
      <c r="F13" s="358">
        <f t="shared" si="0"/>
        <v>1324581</v>
      </c>
      <c r="G13" s="384">
        <v>1455200</v>
      </c>
      <c r="H13" s="381" t="s">
        <v>509</v>
      </c>
    </row>
    <row r="14" spans="1:8" ht="13.5" thickBot="1">
      <c r="A14" s="355" t="s">
        <v>37</v>
      </c>
      <c r="B14" s="382">
        <v>150000</v>
      </c>
      <c r="C14" s="383"/>
      <c r="D14" s="383">
        <f t="shared" si="1"/>
        <v>150000</v>
      </c>
      <c r="E14" s="382">
        <v>0</v>
      </c>
      <c r="F14" s="358">
        <f t="shared" si="0"/>
        <v>150000</v>
      </c>
      <c r="G14" s="384">
        <v>141668.37</v>
      </c>
      <c r="H14" s="385" t="s">
        <v>510</v>
      </c>
    </row>
    <row r="15" spans="1:8" ht="26.25" thickBot="1">
      <c r="A15" s="355" t="s">
        <v>511</v>
      </c>
      <c r="B15" s="382">
        <v>9489911.68356058</v>
      </c>
      <c r="C15" s="383"/>
      <c r="D15" s="383">
        <f t="shared" si="1"/>
        <v>9489911.68356058</v>
      </c>
      <c r="E15" s="382">
        <v>0</v>
      </c>
      <c r="F15" s="358">
        <f t="shared" si="0"/>
        <v>9489911.68356058</v>
      </c>
      <c r="G15" s="384">
        <v>4643504.46</v>
      </c>
      <c r="H15" s="366" t="s">
        <v>512</v>
      </c>
    </row>
    <row r="16" spans="1:8" ht="26.25" thickBot="1">
      <c r="A16" s="355" t="s">
        <v>45</v>
      </c>
      <c r="B16" s="382">
        <v>2457254.7</v>
      </c>
      <c r="C16" s="383">
        <v>32422</v>
      </c>
      <c r="D16" s="383">
        <f t="shared" si="1"/>
        <v>2489676.7</v>
      </c>
      <c r="E16" s="382">
        <v>0</v>
      </c>
      <c r="F16" s="358">
        <f t="shared" si="0"/>
        <v>2489676.7</v>
      </c>
      <c r="G16" s="386">
        <v>3071568.6</v>
      </c>
      <c r="H16" s="366" t="s">
        <v>513</v>
      </c>
    </row>
    <row r="17" spans="1:8" ht="39" thickBot="1">
      <c r="A17" s="355" t="s">
        <v>85</v>
      </c>
      <c r="B17" s="382">
        <v>12696655.45</v>
      </c>
      <c r="C17" s="383">
        <v>45997</v>
      </c>
      <c r="D17" s="383">
        <f t="shared" si="1"/>
        <v>12742652.45</v>
      </c>
      <c r="E17" s="382">
        <v>706339.3333333302</v>
      </c>
      <c r="F17" s="358">
        <f t="shared" si="0"/>
        <v>13448991.78333333</v>
      </c>
      <c r="G17" s="386">
        <f>9937736.35+2614863.02+1408508.44</f>
        <v>13961107.809999999</v>
      </c>
      <c r="H17" s="387" t="s">
        <v>514</v>
      </c>
    </row>
    <row r="18" spans="1:8" ht="39" thickBot="1">
      <c r="A18" s="355" t="s">
        <v>61</v>
      </c>
      <c r="B18" s="382">
        <v>2739800</v>
      </c>
      <c r="C18" s="383"/>
      <c r="D18" s="383">
        <f t="shared" si="1"/>
        <v>2739800</v>
      </c>
      <c r="E18" s="382">
        <v>90120</v>
      </c>
      <c r="F18" s="358">
        <f t="shared" si="0"/>
        <v>2829920</v>
      </c>
      <c r="G18" s="384">
        <v>6511897.2</v>
      </c>
      <c r="H18" s="385" t="s">
        <v>515</v>
      </c>
    </row>
    <row r="19" spans="1:8" ht="13.5" thickBot="1">
      <c r="A19" s="355" t="s">
        <v>291</v>
      </c>
      <c r="B19" s="382">
        <v>280400</v>
      </c>
      <c r="C19" s="383"/>
      <c r="D19" s="383">
        <f t="shared" si="1"/>
        <v>280400</v>
      </c>
      <c r="E19" s="382">
        <v>0</v>
      </c>
      <c r="F19" s="358">
        <f t="shared" si="0"/>
        <v>280400</v>
      </c>
      <c r="G19" s="384">
        <v>0</v>
      </c>
      <c r="H19" s="381" t="s">
        <v>516</v>
      </c>
    </row>
    <row r="20" spans="1:8" ht="51.75" thickBot="1">
      <c r="A20" s="355" t="s">
        <v>36</v>
      </c>
      <c r="B20" s="382">
        <v>64530</v>
      </c>
      <c r="C20" s="383"/>
      <c r="D20" s="383">
        <f t="shared" si="1"/>
        <v>64530</v>
      </c>
      <c r="E20" s="382">
        <v>0</v>
      </c>
      <c r="F20" s="358">
        <f t="shared" si="0"/>
        <v>64530</v>
      </c>
      <c r="G20" s="384">
        <v>160000</v>
      </c>
      <c r="H20" s="385" t="s">
        <v>517</v>
      </c>
    </row>
    <row r="21" spans="1:8" ht="39" thickBot="1">
      <c r="A21" s="355" t="s">
        <v>40</v>
      </c>
      <c r="B21" s="382">
        <v>480000</v>
      </c>
      <c r="C21" s="383"/>
      <c r="D21" s="383">
        <f t="shared" si="1"/>
        <v>480000</v>
      </c>
      <c r="E21" s="382">
        <v>18600</v>
      </c>
      <c r="F21" s="358">
        <f t="shared" si="0"/>
        <v>498600</v>
      </c>
      <c r="G21" s="384">
        <v>1420071</v>
      </c>
      <c r="H21" s="385" t="s">
        <v>518</v>
      </c>
    </row>
    <row r="22" spans="1:7" ht="13.5" thickBot="1">
      <c r="A22" s="388" t="s">
        <v>519</v>
      </c>
      <c r="B22" s="389">
        <v>51783991.766637236</v>
      </c>
      <c r="C22" s="389">
        <f>SUM(C5:C21)</f>
        <v>0</v>
      </c>
      <c r="D22" s="389">
        <f>SUM(D5:D21)</f>
        <v>51783991.766637236</v>
      </c>
      <c r="E22" s="390">
        <v>20218332.979456663</v>
      </c>
      <c r="F22" s="389">
        <f>SUM(F5:F21)</f>
        <v>72002324.7460939</v>
      </c>
      <c r="G22" s="390">
        <f>SUM(G5:G21)</f>
        <v>46688596.59</v>
      </c>
    </row>
    <row r="25" s="392" customFormat="1" ht="15">
      <c r="A25" s="391" t="s">
        <v>520</v>
      </c>
    </row>
    <row r="26" s="392" customFormat="1" ht="15"/>
    <row r="27" spans="1:6" s="392" customFormat="1" ht="15">
      <c r="A27" s="393"/>
      <c r="E27" s="394"/>
      <c r="F27" s="394"/>
    </row>
    <row r="28" spans="1:6" s="392" customFormat="1" ht="15">
      <c r="A28" s="395" t="s">
        <v>521</v>
      </c>
      <c r="E28" s="394"/>
      <c r="F28" s="394"/>
    </row>
    <row r="29" spans="1:6" s="392" customFormat="1" ht="15">
      <c r="A29" s="393"/>
      <c r="E29" s="396" t="s">
        <v>522</v>
      </c>
      <c r="F29" s="396" t="s">
        <v>523</v>
      </c>
    </row>
    <row r="30" spans="1:6" s="392" customFormat="1" ht="15">
      <c r="A30" s="394" t="s">
        <v>524</v>
      </c>
      <c r="E30" s="394">
        <v>49586776.8595041</v>
      </c>
      <c r="F30" s="394">
        <f>+E30*1.21</f>
        <v>59999999.99999996</v>
      </c>
    </row>
    <row r="31" spans="1:6" s="392" customFormat="1" ht="15">
      <c r="A31" s="394"/>
      <c r="E31" s="394"/>
      <c r="F31" s="394"/>
    </row>
    <row r="32" spans="1:6" ht="15">
      <c r="A32" s="397" t="s">
        <v>525</v>
      </c>
      <c r="E32" s="394">
        <f>+G22</f>
        <v>46688596.59</v>
      </c>
      <c r="F32" s="394">
        <f>+E32*1.21</f>
        <v>56493201.873900004</v>
      </c>
    </row>
    <row r="33" spans="1:6" ht="15">
      <c r="A33" s="397" t="s">
        <v>526</v>
      </c>
      <c r="E33" s="398">
        <f>+E30-E32</f>
        <v>2898180.2695041</v>
      </c>
      <c r="F33" s="394">
        <f>+E33*1.21</f>
        <v>3506798.126099961</v>
      </c>
    </row>
    <row r="34" ht="15">
      <c r="F34" s="394">
        <f>SUM(F32:F33)</f>
        <v>59999999.99999996</v>
      </c>
    </row>
    <row r="36" ht="14.25">
      <c r="A36" s="395" t="s">
        <v>527</v>
      </c>
    </row>
    <row r="37" spans="5:6" ht="12.75">
      <c r="E37" s="396" t="s">
        <v>522</v>
      </c>
      <c r="F37" s="396" t="s">
        <v>528</v>
      </c>
    </row>
    <row r="38" spans="1:6" ht="15">
      <c r="A38" s="394" t="s">
        <v>529</v>
      </c>
      <c r="B38" s="399"/>
      <c r="E38" s="394">
        <f>+F38/1.23</f>
        <v>48780487.80487805</v>
      </c>
      <c r="F38" s="394">
        <v>60000000</v>
      </c>
    </row>
    <row r="39" ht="12.75">
      <c r="B39" s="399"/>
    </row>
    <row r="40" spans="1:6" ht="15">
      <c r="A40" s="397" t="s">
        <v>525</v>
      </c>
      <c r="E40" s="394">
        <f>+E32</f>
        <v>46688596.59</v>
      </c>
      <c r="F40" s="394">
        <f>+E40*1.23</f>
        <v>57426973.805700004</v>
      </c>
    </row>
    <row r="41" spans="1:6" ht="15">
      <c r="A41" s="397" t="s">
        <v>526</v>
      </c>
      <c r="E41" s="400">
        <f>+E38-E40</f>
        <v>2091891.214878045</v>
      </c>
      <c r="F41" s="394">
        <f>+E41*1.23</f>
        <v>2573026.1942999954</v>
      </c>
    </row>
    <row r="42" spans="2:6" ht="15">
      <c r="B42" s="401"/>
      <c r="F42" s="394">
        <f>SUM(F40:F41)</f>
        <v>60000000</v>
      </c>
    </row>
    <row r="43" spans="1:2" ht="15">
      <c r="A43" s="393"/>
      <c r="B43" s="399"/>
    </row>
    <row r="44" spans="1:6" ht="15">
      <c r="A44" s="393"/>
      <c r="E44" s="394"/>
      <c r="F44" s="394"/>
    </row>
    <row r="45" spans="1:7" ht="15">
      <c r="A45" s="393"/>
      <c r="E45" s="394"/>
      <c r="F45" s="394"/>
      <c r="G45" s="399"/>
    </row>
    <row r="46" ht="15">
      <c r="A46" s="393"/>
    </row>
    <row r="50" spans="1:5" ht="15">
      <c r="A50" s="393"/>
      <c r="E50" s="394"/>
    </row>
  </sheetData>
  <sheetProtection/>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sheetPr>
    <tabColor theme="3"/>
    <pageSetUpPr fitToPage="1"/>
  </sheetPr>
  <dimension ref="B3:J54"/>
  <sheetViews>
    <sheetView zoomScalePageLayoutView="0" workbookViewId="0" topLeftCell="A1">
      <selection activeCell="D39" sqref="D39"/>
    </sheetView>
  </sheetViews>
  <sheetFormatPr defaultColWidth="8.8515625" defaultRowHeight="12.75"/>
  <cols>
    <col min="1" max="1" width="8.8515625" style="63" customWidth="1"/>
    <col min="2" max="2" width="41.28125" style="63" customWidth="1"/>
    <col min="3" max="3" width="31.421875" style="63" customWidth="1"/>
    <col min="4" max="4" width="19.8515625" style="63" customWidth="1"/>
    <col min="5" max="5" width="13.8515625" style="63" customWidth="1"/>
    <col min="6" max="6" width="17.421875" style="63" customWidth="1"/>
    <col min="7" max="7" width="27.140625" style="63" customWidth="1"/>
    <col min="8" max="9" width="8.8515625" style="63" customWidth="1"/>
    <col min="10" max="10" width="13.140625" style="63" bestFit="1" customWidth="1"/>
    <col min="11" max="16384" width="8.8515625" style="63" customWidth="1"/>
  </cols>
  <sheetData>
    <row r="1" ht="15"/>
    <row r="2" ht="15"/>
    <row r="3" ht="15">
      <c r="B3" s="62" t="s">
        <v>176</v>
      </c>
    </row>
    <row r="4" ht="15">
      <c r="B4" s="62"/>
    </row>
    <row r="5" ht="15">
      <c r="B5" s="63" t="s">
        <v>177</v>
      </c>
    </row>
    <row r="6" spans="2:4" ht="15">
      <c r="B6" s="64" t="s">
        <v>79</v>
      </c>
      <c r="C6" s="64" t="s">
        <v>71</v>
      </c>
      <c r="D6" s="65">
        <v>390</v>
      </c>
    </row>
    <row r="7" spans="2:4" ht="15">
      <c r="B7" s="64" t="s">
        <v>178</v>
      </c>
      <c r="C7" s="64" t="s">
        <v>71</v>
      </c>
      <c r="D7" s="65">
        <v>1763.63</v>
      </c>
    </row>
    <row r="8" ht="15">
      <c r="D8" s="66"/>
    </row>
    <row r="9" spans="2:4" ht="15">
      <c r="B9" s="64" t="s">
        <v>55</v>
      </c>
      <c r="C9" s="64" t="s">
        <v>32</v>
      </c>
      <c r="D9" s="67">
        <v>51192.81</v>
      </c>
    </row>
    <row r="10" ht="15">
      <c r="D10" s="66"/>
    </row>
    <row r="11" spans="2:4" ht="15">
      <c r="B11" s="68" t="s">
        <v>39</v>
      </c>
      <c r="C11" s="64" t="s">
        <v>76</v>
      </c>
      <c r="D11" s="65">
        <v>2926</v>
      </c>
    </row>
    <row r="12" ht="15.75" thickBot="1"/>
    <row r="13" spans="2:4" ht="15">
      <c r="B13" s="69"/>
      <c r="C13" s="70" t="s">
        <v>179</v>
      </c>
      <c r="D13" s="71" t="s">
        <v>180</v>
      </c>
    </row>
    <row r="14" spans="2:4" ht="15">
      <c r="B14" s="72" t="s">
        <v>214</v>
      </c>
      <c r="C14" s="73" t="s">
        <v>32</v>
      </c>
      <c r="D14" s="74">
        <f>D6*2</f>
        <v>780</v>
      </c>
    </row>
    <row r="15" spans="2:4" ht="30">
      <c r="B15" s="72" t="s">
        <v>215</v>
      </c>
      <c r="C15" s="73" t="s">
        <v>32</v>
      </c>
      <c r="D15" s="74">
        <f>D7*2</f>
        <v>3527.26</v>
      </c>
    </row>
    <row r="16" spans="2:4" ht="15">
      <c r="B16" s="75"/>
      <c r="C16" s="73"/>
      <c r="D16" s="76"/>
    </row>
    <row r="17" spans="2:4" ht="15">
      <c r="B17" s="75" t="s">
        <v>216</v>
      </c>
      <c r="C17" s="73" t="s">
        <v>32</v>
      </c>
      <c r="D17" s="74">
        <f>D9/90*2</f>
        <v>1137.618</v>
      </c>
    </row>
    <row r="18" spans="2:4" ht="15">
      <c r="B18" s="75"/>
      <c r="C18" s="73"/>
      <c r="D18" s="76"/>
    </row>
    <row r="19" spans="2:4" ht="15">
      <c r="B19" s="75" t="s">
        <v>181</v>
      </c>
      <c r="C19" s="73" t="s">
        <v>182</v>
      </c>
      <c r="D19" s="74">
        <f>D11/1024</f>
        <v>2.857421875</v>
      </c>
    </row>
    <row r="20" spans="2:4" ht="15.75" thickBot="1">
      <c r="B20" s="77" t="s">
        <v>213</v>
      </c>
      <c r="C20" s="73" t="s">
        <v>32</v>
      </c>
      <c r="D20" s="78">
        <v>1.95</v>
      </c>
    </row>
    <row r="21" spans="2:4" ht="30">
      <c r="B21" s="79" t="s">
        <v>183</v>
      </c>
      <c r="C21" s="80" t="s">
        <v>32</v>
      </c>
      <c r="D21" s="81">
        <v>400</v>
      </c>
    </row>
    <row r="22" spans="2:4" ht="30">
      <c r="B22" s="82" t="s">
        <v>184</v>
      </c>
      <c r="C22" s="83" t="s">
        <v>185</v>
      </c>
      <c r="D22" s="84">
        <v>0.3</v>
      </c>
    </row>
    <row r="24" spans="2:4" ht="15">
      <c r="B24" s="85" t="s">
        <v>186</v>
      </c>
      <c r="C24" s="85" t="s">
        <v>187</v>
      </c>
      <c r="D24" s="85" t="s">
        <v>188</v>
      </c>
    </row>
    <row r="25" spans="2:10" ht="15">
      <c r="B25" s="86" t="s">
        <v>166</v>
      </c>
      <c r="C25" s="86">
        <v>0.5</v>
      </c>
      <c r="D25" s="87">
        <v>3400</v>
      </c>
      <c r="J25" s="88"/>
    </row>
    <row r="26" spans="2:4" ht="15">
      <c r="B26" s="86" t="s">
        <v>167</v>
      </c>
      <c r="C26" s="86">
        <v>1</v>
      </c>
      <c r="D26" s="87">
        <v>500</v>
      </c>
    </row>
    <row r="27" spans="2:4" ht="15">
      <c r="B27" s="86" t="s">
        <v>168</v>
      </c>
      <c r="C27" s="86">
        <v>2</v>
      </c>
      <c r="D27" s="87">
        <v>100</v>
      </c>
    </row>
    <row r="28" spans="2:4" ht="15">
      <c r="B28" s="86" t="s">
        <v>189</v>
      </c>
      <c r="C28" s="86">
        <v>10</v>
      </c>
      <c r="D28" s="86">
        <v>100</v>
      </c>
    </row>
    <row r="29" spans="2:4" ht="15">
      <c r="B29" s="85" t="s">
        <v>114</v>
      </c>
      <c r="C29" s="89"/>
      <c r="D29" s="85">
        <f>SUM(D25:D28)</f>
        <v>4100</v>
      </c>
    </row>
    <row r="31" ht="15.75" thickBot="1"/>
    <row r="32" spans="2:3" ht="45.75" thickBot="1">
      <c r="B32" s="90" t="s">
        <v>190</v>
      </c>
      <c r="C32" s="91">
        <f>(D14+D15+D17+D21)/$D$29</f>
        <v>1.42558</v>
      </c>
    </row>
    <row r="33" spans="2:3" ht="15.75" thickBot="1">
      <c r="B33" s="90" t="s">
        <v>191</v>
      </c>
      <c r="C33" s="91">
        <f>D20</f>
        <v>1.95</v>
      </c>
    </row>
    <row r="35" ht="15">
      <c r="B35" s="63" t="s">
        <v>192</v>
      </c>
    </row>
    <row r="36" spans="2:8" ht="30">
      <c r="B36" s="85" t="s">
        <v>186</v>
      </c>
      <c r="C36" s="85" t="s">
        <v>193</v>
      </c>
      <c r="D36" s="85" t="s">
        <v>194</v>
      </c>
      <c r="E36" s="92" t="s">
        <v>195</v>
      </c>
      <c r="F36" s="92" t="s">
        <v>196</v>
      </c>
      <c r="G36" s="92" t="s">
        <v>197</v>
      </c>
      <c r="H36" s="88"/>
    </row>
    <row r="37" spans="2:8" ht="15">
      <c r="B37" s="86" t="s">
        <v>198</v>
      </c>
      <c r="C37" s="93">
        <f>$C$32+($C$33*(1-$D$22))+($D$19*C25)</f>
        <v>4.2192909375</v>
      </c>
      <c r="D37" s="93">
        <f>C37*12</f>
        <v>50.63149125</v>
      </c>
      <c r="E37" s="93">
        <f>$C$32+$C$33*(1-$D$22)</f>
        <v>2.7905800000000003</v>
      </c>
      <c r="F37" s="93">
        <f>$D$19*C25</f>
        <v>1.4287109375</v>
      </c>
      <c r="G37" s="93">
        <f>C37*D25</f>
        <v>14345.589187500002</v>
      </c>
      <c r="H37" s="88"/>
    </row>
    <row r="38" spans="2:8" ht="15">
      <c r="B38" s="86" t="s">
        <v>199</v>
      </c>
      <c r="C38" s="93">
        <f>$C$32+($C$33*(1-$D$22))+($D$19*C26)</f>
        <v>5.648001875</v>
      </c>
      <c r="D38" s="93">
        <f>C38*12</f>
        <v>67.77602250000001</v>
      </c>
      <c r="E38" s="93">
        <f>$C$32+$C$33*(1-$D$22)</f>
        <v>2.7905800000000003</v>
      </c>
      <c r="F38" s="93">
        <f>$D$19*C26</f>
        <v>2.857421875</v>
      </c>
      <c r="G38" s="93">
        <f>C38*D26</f>
        <v>2824.0009375</v>
      </c>
      <c r="H38" s="88"/>
    </row>
    <row r="39" spans="2:8" ht="15">
      <c r="B39" s="86" t="s">
        <v>200</v>
      </c>
      <c r="C39" s="93">
        <f>$C$32+($C$33*(1-$D$22))+($D$19*C27)</f>
        <v>8.50542375</v>
      </c>
      <c r="D39" s="93">
        <f>C39*12</f>
        <v>102.06508500000001</v>
      </c>
      <c r="E39" s="93">
        <f>$C$32+$C$33*(1-$D$22)</f>
        <v>2.7905800000000003</v>
      </c>
      <c r="F39" s="93">
        <f>$D$19*C27</f>
        <v>5.71484375</v>
      </c>
      <c r="G39" s="93">
        <f>C39*D27</f>
        <v>850.542375</v>
      </c>
      <c r="H39" s="88"/>
    </row>
    <row r="40" spans="2:8" ht="15">
      <c r="B40" s="86" t="s">
        <v>201</v>
      </c>
      <c r="C40" s="93">
        <f>$C$32+($C$33*(1-$D$22))+($D$19*C28)</f>
        <v>31.36479875</v>
      </c>
      <c r="D40" s="93">
        <f>C40*12</f>
        <v>376.37758499999995</v>
      </c>
      <c r="E40" s="93">
        <f>$C$32+$C$33*(1-$D$22)</f>
        <v>2.7905800000000003</v>
      </c>
      <c r="F40" s="93">
        <f>$D$19*C28</f>
        <v>28.57421875</v>
      </c>
      <c r="G40" s="93">
        <f>C40*D28</f>
        <v>3136.479875</v>
      </c>
      <c r="H40" s="88"/>
    </row>
    <row r="41" ht="15">
      <c r="G41" s="94">
        <f>SUM(G37:G40)</f>
        <v>21156.612375000004</v>
      </c>
    </row>
    <row r="42" ht="15.75" thickBot="1"/>
    <row r="43" spans="2:4" ht="15">
      <c r="B43" s="518" t="s">
        <v>202</v>
      </c>
      <c r="C43" s="519"/>
      <c r="D43" s="520"/>
    </row>
    <row r="44" spans="2:4" ht="15">
      <c r="B44" s="95"/>
      <c r="C44" s="96"/>
      <c r="D44" s="97"/>
    </row>
    <row r="45" spans="2:4" ht="15">
      <c r="B45" s="98" t="s">
        <v>203</v>
      </c>
      <c r="C45" s="96" t="s">
        <v>204</v>
      </c>
      <c r="D45" s="99">
        <f>10.5*12</f>
        <v>126</v>
      </c>
    </row>
    <row r="46" spans="2:4" ht="15">
      <c r="B46" s="95"/>
      <c r="C46" s="96"/>
      <c r="D46" s="97"/>
    </row>
    <row r="47" spans="2:4" ht="30" customHeight="1">
      <c r="B47" s="521" t="s">
        <v>205</v>
      </c>
      <c r="C47" s="96" t="s">
        <v>206</v>
      </c>
      <c r="D47" s="99">
        <f>19.95*12</f>
        <v>239.39999999999998</v>
      </c>
    </row>
    <row r="48" spans="2:4" ht="15">
      <c r="B48" s="522"/>
      <c r="C48" s="96" t="s">
        <v>207</v>
      </c>
      <c r="D48" s="99">
        <f>29.95*12</f>
        <v>359.4</v>
      </c>
    </row>
    <row r="49" spans="2:4" ht="15.75" thickBot="1">
      <c r="B49" s="95"/>
      <c r="C49" s="96"/>
      <c r="D49" s="97"/>
    </row>
    <row r="50" spans="2:4" ht="27" thickBot="1">
      <c r="B50" s="100" t="s">
        <v>208</v>
      </c>
      <c r="C50" s="101" t="s">
        <v>209</v>
      </c>
      <c r="D50" s="102">
        <f>5*12</f>
        <v>60</v>
      </c>
    </row>
    <row r="51" spans="2:4" ht="15.75" thickBot="1">
      <c r="B51" s="95"/>
      <c r="C51" s="96"/>
      <c r="D51" s="99"/>
    </row>
    <row r="52" spans="2:4" ht="30.75" thickBot="1">
      <c r="B52" s="103" t="s">
        <v>210</v>
      </c>
      <c r="C52" s="101" t="s">
        <v>211</v>
      </c>
      <c r="D52" s="102">
        <v>48</v>
      </c>
    </row>
    <row r="53" spans="2:4" ht="15.75" thickBot="1">
      <c r="B53" s="95"/>
      <c r="C53" s="96"/>
      <c r="D53" s="97"/>
    </row>
    <row r="54" spans="2:4" ht="27" thickBot="1">
      <c r="B54" s="100" t="s">
        <v>212</v>
      </c>
      <c r="C54" s="101" t="s">
        <v>211</v>
      </c>
      <c r="D54" s="102">
        <v>37.42</v>
      </c>
    </row>
  </sheetData>
  <sheetProtection/>
  <mergeCells count="2">
    <mergeCell ref="B43:D43"/>
    <mergeCell ref="B47:B48"/>
  </mergeCells>
  <hyperlinks>
    <hyperlink ref="B45" r:id="rId1" display="http://we.register.it/email/exchange.html"/>
    <hyperlink ref="B54" r:id="rId2" display="http://www.senetic.it/microsoft/open/commerciale/server/exchange_enterprise_cal/"/>
    <hyperlink ref="B50" r:id="rId3" display="http://www.microsoft.com/exchange/en-us/pricing-exchange-online-email.aspx"/>
    <hyperlink ref="B47" r:id="rId4" display="http://www.alimail.it/listino_Exchange_hosting_e-mail_professionale.htm"/>
  </hyperlinks>
  <printOptions/>
  <pageMargins left="0.7" right="0.7" top="0.75" bottom="0.75" header="0.3" footer="0.3"/>
  <pageSetup fitToHeight="1" fitToWidth="1" orientation="portrait" paperSize="9"/>
  <legacyDrawing r:id="rId6"/>
</worksheet>
</file>

<file path=xl/worksheets/sheet13.xml><?xml version="1.0" encoding="utf-8"?>
<worksheet xmlns="http://schemas.openxmlformats.org/spreadsheetml/2006/main" xmlns:r="http://schemas.openxmlformats.org/officeDocument/2006/relationships">
  <dimension ref="B2:U47"/>
  <sheetViews>
    <sheetView zoomScale="80" zoomScaleNormal="80" zoomScalePageLayoutView="80" workbookViewId="0" topLeftCell="A1">
      <selection activeCell="K27" sqref="K27"/>
    </sheetView>
  </sheetViews>
  <sheetFormatPr defaultColWidth="11.421875" defaultRowHeight="12.75"/>
  <cols>
    <col min="1" max="12" width="11.421875" style="12" customWidth="1"/>
    <col min="13" max="13" width="18.421875" style="12" customWidth="1"/>
    <col min="14" max="14" width="15.00390625" style="12" customWidth="1"/>
    <col min="15" max="15" width="11.421875" style="12" customWidth="1"/>
    <col min="16" max="16" width="19.8515625" style="12" customWidth="1"/>
    <col min="17" max="17" width="17.140625" style="12" customWidth="1"/>
    <col min="18" max="18" width="16.140625" style="12" customWidth="1"/>
    <col min="19" max="19" width="11.421875" style="12" customWidth="1"/>
    <col min="20" max="16384" width="11.421875" style="12" customWidth="1"/>
  </cols>
  <sheetData>
    <row r="2" spans="2:9" ht="12.75">
      <c r="B2" s="13" t="s">
        <v>73</v>
      </c>
      <c r="C2" s="14">
        <v>1</v>
      </c>
      <c r="D2" s="15"/>
      <c r="E2" s="15"/>
      <c r="F2" s="15"/>
      <c r="G2" s="15"/>
      <c r="H2" s="15"/>
      <c r="I2" s="15"/>
    </row>
    <row r="3" spans="2:9" ht="12.75">
      <c r="B3" s="13" t="s">
        <v>74</v>
      </c>
      <c r="C3" s="16">
        <v>1.2</v>
      </c>
      <c r="D3" s="15"/>
      <c r="E3" s="15"/>
      <c r="F3" s="15"/>
      <c r="G3" s="15"/>
      <c r="H3" s="15"/>
      <c r="I3" s="15"/>
    </row>
    <row r="4" spans="2:9" ht="12.75">
      <c r="B4" s="13" t="s">
        <v>75</v>
      </c>
      <c r="C4" s="14">
        <v>1.5</v>
      </c>
      <c r="D4" s="15"/>
      <c r="E4" s="15"/>
      <c r="F4" s="15"/>
      <c r="G4" s="15"/>
      <c r="H4" s="15"/>
      <c r="I4" s="15"/>
    </row>
    <row r="5" spans="2:9" ht="12.75">
      <c r="B5" s="15"/>
      <c r="C5" s="15"/>
      <c r="D5" s="15"/>
      <c r="E5" s="15"/>
      <c r="F5" s="15"/>
      <c r="G5" s="15"/>
      <c r="H5" s="15"/>
      <c r="I5" s="15"/>
    </row>
    <row r="6" spans="2:21" ht="12.75">
      <c r="B6" s="15"/>
      <c r="C6" s="15"/>
      <c r="D6" s="15"/>
      <c r="E6" s="15"/>
      <c r="F6" s="15"/>
      <c r="G6" s="15"/>
      <c r="H6" s="15"/>
      <c r="I6" s="15"/>
      <c r="L6" s="29"/>
      <c r="M6" s="29"/>
      <c r="N6" s="29"/>
      <c r="O6" s="29"/>
      <c r="P6" s="29"/>
      <c r="Q6" s="29"/>
      <c r="R6" s="29"/>
      <c r="S6" s="29"/>
      <c r="T6" s="29"/>
      <c r="U6" s="29"/>
    </row>
    <row r="7" spans="2:21" ht="12.75">
      <c r="B7" s="28" t="s">
        <v>78</v>
      </c>
      <c r="C7" s="15"/>
      <c r="D7" s="15"/>
      <c r="E7" s="15"/>
      <c r="F7" s="15"/>
      <c r="G7" s="15"/>
      <c r="H7" s="18" t="s">
        <v>72</v>
      </c>
      <c r="I7" s="15"/>
      <c r="L7" s="29"/>
      <c r="M7" s="523" t="s">
        <v>128</v>
      </c>
      <c r="N7" s="523"/>
      <c r="O7" s="524"/>
      <c r="P7" s="525" t="s">
        <v>129</v>
      </c>
      <c r="Q7" s="525"/>
      <c r="R7" s="525"/>
      <c r="S7" s="29"/>
      <c r="T7" s="29"/>
      <c r="U7" s="29"/>
    </row>
    <row r="8" spans="2:21" ht="12.75">
      <c r="B8" s="17" t="s">
        <v>63</v>
      </c>
      <c r="C8" s="26" t="s">
        <v>66</v>
      </c>
      <c r="D8" s="26" t="s">
        <v>67</v>
      </c>
      <c r="E8" s="26" t="s">
        <v>68</v>
      </c>
      <c r="F8" s="15"/>
      <c r="G8" s="15"/>
      <c r="H8" s="13" t="s">
        <v>63</v>
      </c>
      <c r="I8" s="27">
        <v>0.3194444444444444</v>
      </c>
      <c r="L8" s="29"/>
      <c r="M8" s="30" t="s">
        <v>130</v>
      </c>
      <c r="N8" s="30" t="s">
        <v>131</v>
      </c>
      <c r="O8" s="31" t="s">
        <v>132</v>
      </c>
      <c r="P8" s="32" t="s">
        <v>130</v>
      </c>
      <c r="Q8" s="32" t="s">
        <v>131</v>
      </c>
      <c r="R8" s="32" t="s">
        <v>132</v>
      </c>
      <c r="S8" s="29"/>
      <c r="T8" s="29"/>
      <c r="U8" s="29"/>
    </row>
    <row r="9" spans="2:21" ht="12.75">
      <c r="B9" s="19" t="s">
        <v>69</v>
      </c>
      <c r="C9" s="27">
        <v>0.6956521739130435</v>
      </c>
      <c r="D9" s="27">
        <v>0</v>
      </c>
      <c r="E9" s="27">
        <v>0.17391304347826086</v>
      </c>
      <c r="F9" s="21"/>
      <c r="G9" s="15"/>
      <c r="H9" s="13" t="s">
        <v>64</v>
      </c>
      <c r="I9" s="27">
        <v>0.4444444444444444</v>
      </c>
      <c r="L9" s="29"/>
      <c r="M9" s="29"/>
      <c r="N9" s="29"/>
      <c r="O9" s="33"/>
      <c r="P9" s="29"/>
      <c r="Q9" s="29"/>
      <c r="R9" s="29"/>
      <c r="S9" s="29"/>
      <c r="T9" s="29"/>
      <c r="U9" s="29"/>
    </row>
    <row r="10" spans="2:21" ht="13.5" thickBot="1">
      <c r="B10" s="19" t="s">
        <v>70</v>
      </c>
      <c r="C10" s="27">
        <v>0.043478260869565216</v>
      </c>
      <c r="D10" s="27">
        <v>0.08695652173913043</v>
      </c>
      <c r="E10" s="27">
        <v>0</v>
      </c>
      <c r="F10" s="21"/>
      <c r="G10" s="15"/>
      <c r="H10" s="13" t="s">
        <v>65</v>
      </c>
      <c r="I10" s="27">
        <v>0.2361111111111111</v>
      </c>
      <c r="L10" s="29" t="s">
        <v>63</v>
      </c>
      <c r="M10" s="34">
        <f>I8*C9</f>
        <v>0.2222222222222222</v>
      </c>
      <c r="N10" s="34">
        <f>I8*D9</f>
        <v>0</v>
      </c>
      <c r="O10" s="35">
        <f>I8*E9</f>
        <v>0.05555555555555555</v>
      </c>
      <c r="P10" s="36">
        <f>I8*C10</f>
        <v>0.013888888888888888</v>
      </c>
      <c r="Q10" s="36">
        <f>I8*D10</f>
        <v>0.027777777777777776</v>
      </c>
      <c r="R10" s="36">
        <f>I8*E10</f>
        <v>0</v>
      </c>
      <c r="S10" s="37">
        <f>SUM(M10:R10)</f>
        <v>0.3194444444444445</v>
      </c>
      <c r="T10" s="29"/>
      <c r="U10" s="29"/>
    </row>
    <row r="11" spans="2:21" ht="13.5" thickBot="1">
      <c r="B11" s="22"/>
      <c r="C11" s="23">
        <f>SUM(C9:C10)</f>
        <v>0.7391304347826086</v>
      </c>
      <c r="D11" s="23">
        <f>SUM(D9:D10)</f>
        <v>0.08695652173913043</v>
      </c>
      <c r="E11" s="24">
        <f>SUM(E9:E10)</f>
        <v>0.17391304347826086</v>
      </c>
      <c r="F11" s="25">
        <f>SUM(C11:E11)</f>
        <v>0.9999999999999999</v>
      </c>
      <c r="G11" s="15"/>
      <c r="H11" s="15"/>
      <c r="I11" s="20">
        <f>SUM(I8:I10)</f>
        <v>1</v>
      </c>
      <c r="L11" s="29" t="s">
        <v>64</v>
      </c>
      <c r="M11" s="34">
        <f>I9*C14</f>
        <v>0.2777777777777778</v>
      </c>
      <c r="N11" s="34">
        <f>I9*D14</f>
        <v>0</v>
      </c>
      <c r="O11" s="35">
        <f>I9*E14</f>
        <v>0.08333333333333333</v>
      </c>
      <c r="P11" s="36">
        <f>I9*C15</f>
        <v>0.027777777777777776</v>
      </c>
      <c r="Q11" s="36">
        <f>I9*D15</f>
        <v>0.041666666666666664</v>
      </c>
      <c r="R11" s="36">
        <f>I9*E15</f>
        <v>0.013888888888888888</v>
      </c>
      <c r="S11" s="37">
        <f>SUM(M11:R11)</f>
        <v>0.4444444444444445</v>
      </c>
      <c r="T11" s="29"/>
      <c r="U11" s="29"/>
    </row>
    <row r="12" spans="2:21" ht="12.75">
      <c r="B12" s="15"/>
      <c r="C12" s="15"/>
      <c r="D12" s="15"/>
      <c r="E12" s="15"/>
      <c r="F12" s="15"/>
      <c r="G12" s="15"/>
      <c r="H12" s="15"/>
      <c r="I12" s="15"/>
      <c r="L12" s="29" t="s">
        <v>65</v>
      </c>
      <c r="M12" s="34">
        <f>I10*C19</f>
        <v>0.1111111111111111</v>
      </c>
      <c r="N12" s="34">
        <f>I10*D19</f>
        <v>0.027777777777777776</v>
      </c>
      <c r="O12" s="35">
        <f>I10*E19</f>
        <v>0.09722222222222221</v>
      </c>
      <c r="P12" s="36">
        <f>I10*C20</f>
        <v>0</v>
      </c>
      <c r="Q12" s="36">
        <f>I10*D20</f>
        <v>0</v>
      </c>
      <c r="R12" s="36">
        <f>I10*E20</f>
        <v>0</v>
      </c>
      <c r="S12" s="37">
        <f>SUM(M12:R12)</f>
        <v>0.2361111111111111</v>
      </c>
      <c r="T12" s="29"/>
      <c r="U12" s="29"/>
    </row>
    <row r="13" spans="2:21" ht="12.75">
      <c r="B13" s="17" t="s">
        <v>64</v>
      </c>
      <c r="C13" s="26" t="s">
        <v>66</v>
      </c>
      <c r="D13" s="26" t="s">
        <v>67</v>
      </c>
      <c r="E13" s="26" t="s">
        <v>68</v>
      </c>
      <c r="F13" s="15"/>
      <c r="G13" s="15"/>
      <c r="H13" s="15"/>
      <c r="I13" s="15"/>
      <c r="L13" s="29"/>
      <c r="M13" s="32"/>
      <c r="N13" s="32"/>
      <c r="O13" s="32"/>
      <c r="P13" s="32"/>
      <c r="Q13" s="32"/>
      <c r="R13" s="29"/>
      <c r="S13" s="29"/>
      <c r="T13" s="29"/>
      <c r="U13" s="29"/>
    </row>
    <row r="14" spans="2:21" ht="12.75">
      <c r="B14" s="19" t="s">
        <v>69</v>
      </c>
      <c r="C14" s="27">
        <v>0.625</v>
      </c>
      <c r="D14" s="27">
        <v>0</v>
      </c>
      <c r="E14" s="27">
        <v>0.1875</v>
      </c>
      <c r="F14" s="21"/>
      <c r="G14" s="15"/>
      <c r="H14" s="15"/>
      <c r="I14" s="15"/>
      <c r="L14" s="39"/>
      <c r="M14" s="42" t="s">
        <v>133</v>
      </c>
      <c r="N14" s="42" t="s">
        <v>134</v>
      </c>
      <c r="O14" s="42"/>
      <c r="P14" s="42" t="s">
        <v>135</v>
      </c>
      <c r="Q14" s="42" t="s">
        <v>136</v>
      </c>
      <c r="R14" s="29"/>
      <c r="S14" s="37">
        <f>SUM(S10:S12)</f>
        <v>1</v>
      </c>
      <c r="T14" s="29"/>
      <c r="U14" s="29"/>
    </row>
    <row r="15" spans="2:21" ht="13.5" thickBot="1">
      <c r="B15" s="19" t="s">
        <v>70</v>
      </c>
      <c r="C15" s="27">
        <v>0.0625</v>
      </c>
      <c r="D15" s="27">
        <v>0.09375</v>
      </c>
      <c r="E15" s="27">
        <v>0.03125</v>
      </c>
      <c r="F15" s="21"/>
      <c r="G15" s="15"/>
      <c r="H15" s="15"/>
      <c r="I15" s="15"/>
      <c r="L15" s="43" t="s">
        <v>63</v>
      </c>
      <c r="M15" s="41">
        <f>M10+N10</f>
        <v>0.2222222222222222</v>
      </c>
      <c r="N15" s="41">
        <f>O10</f>
        <v>0.05555555555555555</v>
      </c>
      <c r="O15" s="40"/>
      <c r="P15" s="41">
        <f>P10+Q10</f>
        <v>0.041666666666666664</v>
      </c>
      <c r="Q15" s="41">
        <f>R10</f>
        <v>0</v>
      </c>
      <c r="R15" s="29"/>
      <c r="S15" s="29"/>
      <c r="T15" s="29"/>
      <c r="U15" s="29"/>
    </row>
    <row r="16" spans="2:21" ht="13.5" thickBot="1">
      <c r="B16" s="22"/>
      <c r="C16" s="23">
        <f>SUM(C14:C15)</f>
        <v>0.6875</v>
      </c>
      <c r="D16" s="23">
        <f>SUM(D14:D15)</f>
        <v>0.09375</v>
      </c>
      <c r="E16" s="24">
        <f>SUM(E14:E15)</f>
        <v>0.21875</v>
      </c>
      <c r="F16" s="25">
        <f>SUM(C16:E16)</f>
        <v>1</v>
      </c>
      <c r="G16" s="15"/>
      <c r="H16" s="15"/>
      <c r="I16" s="15"/>
      <c r="L16" s="43" t="s">
        <v>64</v>
      </c>
      <c r="M16" s="41">
        <f>M11+N11</f>
        <v>0.2777777777777778</v>
      </c>
      <c r="N16" s="41">
        <f>O11</f>
        <v>0.08333333333333333</v>
      </c>
      <c r="O16" s="40"/>
      <c r="P16" s="41">
        <f>P11+Q11</f>
        <v>0.06944444444444445</v>
      </c>
      <c r="Q16" s="41">
        <f>R11</f>
        <v>0.013888888888888888</v>
      </c>
      <c r="R16" s="29"/>
      <c r="S16" s="29"/>
      <c r="T16" s="29"/>
      <c r="U16" s="29"/>
    </row>
    <row r="17" spans="2:21" ht="12.75">
      <c r="B17" s="15"/>
      <c r="C17" s="15"/>
      <c r="D17" s="15"/>
      <c r="E17" s="15"/>
      <c r="F17" s="15"/>
      <c r="G17" s="15"/>
      <c r="H17" s="15"/>
      <c r="I17" s="15"/>
      <c r="L17" s="43" t="s">
        <v>65</v>
      </c>
      <c r="M17" s="41">
        <f>M12+N12</f>
        <v>0.1388888888888889</v>
      </c>
      <c r="N17" s="41">
        <f>O12</f>
        <v>0.09722222222222221</v>
      </c>
      <c r="O17" s="40" t="s">
        <v>137</v>
      </c>
      <c r="P17" s="41">
        <f>P12+Q12</f>
        <v>0</v>
      </c>
      <c r="Q17" s="41">
        <f>R12</f>
        <v>0</v>
      </c>
      <c r="R17" s="29"/>
      <c r="S17" s="29"/>
      <c r="T17" s="29"/>
      <c r="U17" s="29"/>
    </row>
    <row r="18" spans="2:21" ht="12.75">
      <c r="B18" s="17" t="s">
        <v>65</v>
      </c>
      <c r="C18" s="26" t="s">
        <v>66</v>
      </c>
      <c r="D18" s="26" t="s">
        <v>67</v>
      </c>
      <c r="E18" s="26" t="s">
        <v>68</v>
      </c>
      <c r="F18" s="15"/>
      <c r="G18" s="15"/>
      <c r="H18" s="15"/>
      <c r="I18" s="15"/>
      <c r="L18" s="29"/>
      <c r="M18" s="32"/>
      <c r="N18" s="32"/>
      <c r="O18" s="32"/>
      <c r="P18" s="32"/>
      <c r="Q18" s="32"/>
      <c r="R18" s="29"/>
      <c r="S18" s="29"/>
      <c r="T18" s="29"/>
      <c r="U18" s="29"/>
    </row>
    <row r="19" spans="2:21" ht="12.75">
      <c r="B19" s="19" t="s">
        <v>69</v>
      </c>
      <c r="C19" s="27">
        <v>0.47058823529411764</v>
      </c>
      <c r="D19" s="27">
        <v>0.11764705882352941</v>
      </c>
      <c r="E19" s="27">
        <v>0.4117647058823529</v>
      </c>
      <c r="F19" s="21"/>
      <c r="G19" s="15"/>
      <c r="H19" s="15"/>
      <c r="I19" s="15"/>
      <c r="L19" s="29"/>
      <c r="M19" s="29"/>
      <c r="N19" s="29"/>
      <c r="O19" s="29"/>
      <c r="P19" s="29"/>
      <c r="Q19" s="29"/>
      <c r="R19" s="29"/>
      <c r="S19" s="29"/>
      <c r="T19" s="29"/>
      <c r="U19" s="29"/>
    </row>
    <row r="20" spans="2:21" ht="13.5" thickBot="1">
      <c r="B20" s="19" t="s">
        <v>70</v>
      </c>
      <c r="C20" s="27">
        <v>0</v>
      </c>
      <c r="D20" s="27">
        <v>0</v>
      </c>
      <c r="E20" s="27">
        <v>0</v>
      </c>
      <c r="F20" s="21"/>
      <c r="G20" s="15"/>
      <c r="H20" s="15"/>
      <c r="I20" s="15"/>
      <c r="L20" s="29"/>
      <c r="M20" s="29"/>
      <c r="N20" s="29"/>
      <c r="O20" s="29"/>
      <c r="P20" s="29"/>
      <c r="Q20" s="29"/>
      <c r="R20" s="29"/>
      <c r="S20" s="29"/>
      <c r="T20" s="29"/>
      <c r="U20" s="29"/>
    </row>
    <row r="21" spans="2:21" ht="13.5" thickBot="1">
      <c r="B21" s="22"/>
      <c r="C21" s="23">
        <f>SUM(C19:C20)</f>
        <v>0.47058823529411764</v>
      </c>
      <c r="D21" s="23">
        <f>SUM(D19:D20)</f>
        <v>0.11764705882352941</v>
      </c>
      <c r="E21" s="24">
        <f>SUM(E19:E20)</f>
        <v>0.4117647058823529</v>
      </c>
      <c r="F21" s="25">
        <f>SUM(C21:E21)</f>
        <v>1</v>
      </c>
      <c r="G21" s="15"/>
      <c r="H21" s="15"/>
      <c r="I21" s="15"/>
      <c r="L21" s="29"/>
      <c r="M21" s="29"/>
      <c r="N21" s="29"/>
      <c r="O21" s="29"/>
      <c r="P21" s="29"/>
      <c r="Q21" s="29"/>
      <c r="R21" s="29"/>
      <c r="S21" s="29"/>
      <c r="T21" s="29"/>
      <c r="U21" s="29"/>
    </row>
    <row r="22" spans="2:21" ht="12.75">
      <c r="B22" s="15"/>
      <c r="C22" s="15"/>
      <c r="D22" s="15"/>
      <c r="E22" s="15"/>
      <c r="F22" s="15"/>
      <c r="G22" s="15"/>
      <c r="H22" s="15"/>
      <c r="I22" s="15"/>
      <c r="L22" s="29"/>
      <c r="M22" s="29"/>
      <c r="N22" s="29"/>
      <c r="O22" s="29"/>
      <c r="P22" s="29"/>
      <c r="Q22" s="29"/>
      <c r="R22" s="29"/>
      <c r="S22" s="29"/>
      <c r="T22" s="29"/>
      <c r="U22" s="29"/>
    </row>
    <row r="23" spans="12:21" ht="12.75">
      <c r="L23" s="29"/>
      <c r="M23" s="29"/>
      <c r="N23" s="29"/>
      <c r="O23" s="29"/>
      <c r="P23" s="29"/>
      <c r="Q23" s="29"/>
      <c r="R23" s="29"/>
      <c r="S23" s="29"/>
      <c r="T23" s="29"/>
      <c r="U23" s="29"/>
    </row>
    <row r="24" spans="12:21" ht="12.75">
      <c r="L24" s="29"/>
      <c r="M24" s="29"/>
      <c r="N24" s="29"/>
      <c r="O24" s="29"/>
      <c r="P24" s="29"/>
      <c r="Q24" s="29"/>
      <c r="R24" s="29"/>
      <c r="S24" s="29"/>
      <c r="T24" s="29"/>
      <c r="U24" s="29"/>
    </row>
    <row r="25" spans="12:21" ht="12.75">
      <c r="L25" s="29"/>
      <c r="M25" s="29"/>
      <c r="N25" s="29"/>
      <c r="O25" s="29"/>
      <c r="P25" s="29"/>
      <c r="Q25" s="29"/>
      <c r="R25" s="29"/>
      <c r="S25" s="29"/>
      <c r="T25" s="29"/>
      <c r="U25" s="29"/>
    </row>
    <row r="26" spans="12:21" ht="12.75">
      <c r="L26" s="29"/>
      <c r="M26" s="29"/>
      <c r="N26" s="29"/>
      <c r="O26" s="29"/>
      <c r="P26" s="29"/>
      <c r="Q26" s="29"/>
      <c r="R26" s="29"/>
      <c r="S26" s="29"/>
      <c r="T26" s="29"/>
      <c r="U26" s="29"/>
    </row>
    <row r="27" spans="12:21" ht="12.75">
      <c r="L27" s="29"/>
      <c r="M27" s="29"/>
      <c r="N27" s="29"/>
      <c r="O27" s="29"/>
      <c r="P27" s="29"/>
      <c r="Q27" s="29"/>
      <c r="R27" s="29"/>
      <c r="S27" s="29"/>
      <c r="T27" s="29"/>
      <c r="U27" s="29"/>
    </row>
    <row r="28" spans="12:21" ht="12.75">
      <c r="L28" s="29"/>
      <c r="M28" s="29"/>
      <c r="N28" s="29" t="s">
        <v>138</v>
      </c>
      <c r="O28" s="29">
        <v>170</v>
      </c>
      <c r="P28" s="29"/>
      <c r="Q28" s="29">
        <f>P36+P37+P38+P42+P44+T36+T37+T38+T39</f>
        <v>169.99999999999997</v>
      </c>
      <c r="R28" s="29"/>
      <c r="S28" s="29"/>
      <c r="T28" s="29"/>
      <c r="U28" s="29"/>
    </row>
    <row r="29" spans="12:21" ht="12.75">
      <c r="L29" s="29"/>
      <c r="M29" s="29"/>
      <c r="N29" s="29"/>
      <c r="O29" s="29"/>
      <c r="P29" s="29"/>
      <c r="Q29" s="29"/>
      <c r="R29" s="29"/>
      <c r="S29" s="29"/>
      <c r="T29" s="29"/>
      <c r="U29" s="29"/>
    </row>
    <row r="30" spans="12:21" ht="12.75">
      <c r="L30" s="29"/>
      <c r="M30" s="29"/>
      <c r="N30" s="29"/>
      <c r="O30" s="29"/>
      <c r="P30" s="29"/>
      <c r="Q30" s="29"/>
      <c r="R30" s="29"/>
      <c r="S30" s="29"/>
      <c r="T30" s="29"/>
      <c r="U30" s="29"/>
    </row>
    <row r="31" spans="12:21" ht="12.75">
      <c r="L31" s="29"/>
      <c r="M31" s="29"/>
      <c r="N31" s="29"/>
      <c r="O31" s="29"/>
      <c r="P31" s="29"/>
      <c r="Q31" s="29"/>
      <c r="R31" s="29"/>
      <c r="S31" s="29"/>
      <c r="T31" s="29"/>
      <c r="U31" s="29"/>
    </row>
    <row r="32" spans="12:21" ht="12.75">
      <c r="L32" s="29"/>
      <c r="M32" s="29"/>
      <c r="N32" s="29"/>
      <c r="O32" s="29"/>
      <c r="P32" s="29"/>
      <c r="Q32" s="29"/>
      <c r="R32" s="29"/>
      <c r="S32" s="29"/>
      <c r="T32" s="29"/>
      <c r="U32" s="29"/>
    </row>
    <row r="33" spans="12:21" ht="12.75">
      <c r="L33" s="29"/>
      <c r="M33" s="29"/>
      <c r="N33" s="29"/>
      <c r="O33" s="29"/>
      <c r="P33" s="29"/>
      <c r="Q33" s="29"/>
      <c r="R33" s="29"/>
      <c r="S33" s="29"/>
      <c r="T33" s="29"/>
      <c r="U33" s="29"/>
    </row>
    <row r="34" spans="12:21" ht="12.75">
      <c r="L34" s="29"/>
      <c r="M34" s="29"/>
      <c r="N34" s="29"/>
      <c r="O34" s="29"/>
      <c r="P34" s="29"/>
      <c r="Q34" s="29"/>
      <c r="R34" s="29"/>
      <c r="S34" s="29"/>
      <c r="T34" s="29"/>
      <c r="U34" s="29"/>
    </row>
    <row r="35" spans="12:21" ht="12.75">
      <c r="L35" s="29"/>
      <c r="M35" s="29"/>
      <c r="N35" s="29" t="s">
        <v>139</v>
      </c>
      <c r="O35" s="29"/>
      <c r="P35" s="38"/>
      <c r="Q35" s="38"/>
      <c r="R35" s="38"/>
      <c r="S35" s="38"/>
      <c r="T35" s="38"/>
      <c r="U35" s="29"/>
    </row>
    <row r="36" spans="12:21" ht="12.75">
      <c r="L36" s="29"/>
      <c r="M36" s="29"/>
      <c r="N36" s="29" t="s">
        <v>115</v>
      </c>
      <c r="O36" s="29"/>
      <c r="P36" s="38">
        <f>O28*M15</f>
        <v>37.77777777777778</v>
      </c>
      <c r="Q36" s="38"/>
      <c r="R36" s="38" t="s">
        <v>119</v>
      </c>
      <c r="S36" s="38"/>
      <c r="T36" s="38">
        <f>O28*M16</f>
        <v>47.22222222222222</v>
      </c>
      <c r="U36" s="29"/>
    </row>
    <row r="37" spans="12:21" ht="12.75">
      <c r="L37" s="29"/>
      <c r="M37" s="29"/>
      <c r="N37" s="29" t="s">
        <v>116</v>
      </c>
      <c r="O37" s="29"/>
      <c r="P37" s="38">
        <f>O28*P15</f>
        <v>7.083333333333333</v>
      </c>
      <c r="Q37" s="38"/>
      <c r="R37" s="38" t="s">
        <v>120</v>
      </c>
      <c r="S37" s="38"/>
      <c r="T37" s="38">
        <f>O28*P16</f>
        <v>11.805555555555555</v>
      </c>
      <c r="U37" s="29"/>
    </row>
    <row r="38" spans="12:21" ht="12.75">
      <c r="L38" s="29"/>
      <c r="M38" s="29"/>
      <c r="N38" s="29" t="s">
        <v>117</v>
      </c>
      <c r="O38" s="29"/>
      <c r="P38" s="38">
        <f>O28*N15</f>
        <v>9.444444444444445</v>
      </c>
      <c r="Q38" s="38"/>
      <c r="R38" s="38" t="s">
        <v>121</v>
      </c>
      <c r="S38" s="38"/>
      <c r="T38" s="38">
        <f>O28*N16</f>
        <v>14.166666666666666</v>
      </c>
      <c r="U38" s="29"/>
    </row>
    <row r="39" spans="12:21" ht="12.75">
      <c r="L39" s="29"/>
      <c r="M39" s="29"/>
      <c r="N39" s="29" t="s">
        <v>118</v>
      </c>
      <c r="O39" s="29"/>
      <c r="P39" s="38">
        <f>O28*Q15</f>
        <v>0</v>
      </c>
      <c r="Q39" s="38"/>
      <c r="R39" s="38" t="s">
        <v>122</v>
      </c>
      <c r="S39" s="38"/>
      <c r="T39" s="38">
        <f>O28*Q16</f>
        <v>2.361111111111111</v>
      </c>
      <c r="U39" s="29"/>
    </row>
    <row r="40" spans="12:21" ht="12.75">
      <c r="L40" s="29"/>
      <c r="M40" s="29"/>
      <c r="N40" s="29"/>
      <c r="O40" s="29"/>
      <c r="P40" s="38"/>
      <c r="Q40" s="38"/>
      <c r="R40" s="38"/>
      <c r="S40" s="38"/>
      <c r="T40" s="38"/>
      <c r="U40" s="29"/>
    </row>
    <row r="41" spans="12:21" ht="12.75">
      <c r="L41" s="29"/>
      <c r="M41" s="29"/>
      <c r="N41" s="29"/>
      <c r="O41" s="29"/>
      <c r="P41" s="38"/>
      <c r="Q41" s="38"/>
      <c r="R41" s="38"/>
      <c r="S41" s="38"/>
      <c r="T41" s="38"/>
      <c r="U41" s="29"/>
    </row>
    <row r="42" spans="12:21" ht="12.75">
      <c r="L42" s="29"/>
      <c r="M42" s="29"/>
      <c r="N42" s="29" t="s">
        <v>123</v>
      </c>
      <c r="O42" s="29"/>
      <c r="P42" s="38">
        <f>O28*M17</f>
        <v>23.61111111111111</v>
      </c>
      <c r="Q42" s="38"/>
      <c r="R42" s="38"/>
      <c r="S42" s="38"/>
      <c r="T42" s="38"/>
      <c r="U42" s="29"/>
    </row>
    <row r="43" spans="12:21" ht="12.75">
      <c r="L43" s="29"/>
      <c r="M43" s="29"/>
      <c r="N43" s="29" t="s">
        <v>124</v>
      </c>
      <c r="O43" s="29"/>
      <c r="P43" s="38">
        <f>O28*P17</f>
        <v>0</v>
      </c>
      <c r="Q43" s="38"/>
      <c r="R43" s="38"/>
      <c r="S43" s="38"/>
      <c r="T43" s="38"/>
      <c r="U43" s="29"/>
    </row>
    <row r="44" spans="12:21" ht="12.75">
      <c r="L44" s="29"/>
      <c r="M44" s="29"/>
      <c r="N44" s="29" t="s">
        <v>125</v>
      </c>
      <c r="O44" s="29"/>
      <c r="P44" s="38">
        <f>O28*N17</f>
        <v>16.527777777777775</v>
      </c>
      <c r="Q44" s="38"/>
      <c r="R44" s="38"/>
      <c r="S44" s="38"/>
      <c r="T44" s="38"/>
      <c r="U44" s="29"/>
    </row>
    <row r="45" spans="12:21" ht="12.75">
      <c r="L45" s="29"/>
      <c r="M45" s="29"/>
      <c r="N45" s="29" t="s">
        <v>126</v>
      </c>
      <c r="O45" s="29"/>
      <c r="P45" s="38">
        <f>O28*Q17</f>
        <v>0</v>
      </c>
      <c r="Q45" s="38"/>
      <c r="R45" s="38"/>
      <c r="S45" s="38"/>
      <c r="T45" s="38"/>
      <c r="U45" s="29"/>
    </row>
    <row r="46" spans="12:21" ht="12.75">
      <c r="L46" s="29"/>
      <c r="M46" s="29"/>
      <c r="N46" s="29"/>
      <c r="O46" s="29"/>
      <c r="P46" s="38"/>
      <c r="Q46" s="38"/>
      <c r="R46" s="38"/>
      <c r="S46" s="38"/>
      <c r="T46" s="38"/>
      <c r="U46" s="29"/>
    </row>
    <row r="47" spans="12:21" ht="12.75">
      <c r="L47" s="29"/>
      <c r="M47" s="29"/>
      <c r="N47" s="29"/>
      <c r="O47" s="29"/>
      <c r="P47" s="29"/>
      <c r="Q47" s="29"/>
      <c r="R47" s="29"/>
      <c r="S47" s="29"/>
      <c r="T47" s="29"/>
      <c r="U47" s="29"/>
    </row>
  </sheetData>
  <sheetProtection/>
  <mergeCells count="2">
    <mergeCell ref="M7:O7"/>
    <mergeCell ref="P7:R7"/>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3:G39"/>
  <sheetViews>
    <sheetView zoomScale="90" zoomScaleNormal="90" zoomScalePageLayoutView="90" workbookViewId="0" topLeftCell="A1">
      <selection activeCell="D39" sqref="D39"/>
    </sheetView>
  </sheetViews>
  <sheetFormatPr defaultColWidth="8.8515625" defaultRowHeight="12.75"/>
  <cols>
    <col min="2" max="2" width="54.28125" style="0" customWidth="1"/>
    <col min="3" max="3" width="21.140625" style="207" customWidth="1"/>
    <col min="4" max="5" width="19.7109375" style="207" customWidth="1"/>
    <col min="6" max="6" width="36.00390625" style="0" customWidth="1"/>
  </cols>
  <sheetData>
    <row r="3" s="190" customFormat="1" ht="18">
      <c r="B3" s="191" t="s">
        <v>251</v>
      </c>
    </row>
    <row r="5" spans="1:6" s="162" customFormat="1" ht="12.75">
      <c r="A5" s="192" t="s">
        <v>252</v>
      </c>
      <c r="B5" s="192" t="s">
        <v>253</v>
      </c>
      <c r="C5" s="193" t="s">
        <v>254</v>
      </c>
      <c r="D5" s="193" t="s">
        <v>255</v>
      </c>
      <c r="E5" s="193" t="s">
        <v>256</v>
      </c>
      <c r="F5" s="194" t="s">
        <v>257</v>
      </c>
    </row>
    <row r="6" spans="1:6" s="44" customFormat="1" ht="12.75">
      <c r="A6" s="195" t="s">
        <v>258</v>
      </c>
      <c r="B6" s="196" t="s">
        <v>80</v>
      </c>
      <c r="C6" s="197">
        <f>C7+C8</f>
        <v>0</v>
      </c>
      <c r="D6" s="197">
        <v>0</v>
      </c>
      <c r="E6" s="197"/>
      <c r="F6" s="198" t="s">
        <v>259</v>
      </c>
    </row>
    <row r="7" spans="1:6" s="44" customFormat="1" ht="12.75">
      <c r="A7" s="195" t="s">
        <v>260</v>
      </c>
      <c r="B7" s="199" t="s">
        <v>261</v>
      </c>
      <c r="C7" s="200"/>
      <c r="D7" s="200"/>
      <c r="E7" s="200"/>
      <c r="F7" s="198" t="s">
        <v>259</v>
      </c>
    </row>
    <row r="8" spans="1:6" s="44" customFormat="1" ht="22.5">
      <c r="A8" s="195" t="s">
        <v>262</v>
      </c>
      <c r="B8" s="199" t="s">
        <v>263</v>
      </c>
      <c r="C8" s="200"/>
      <c r="D8" s="200"/>
      <c r="E8" s="200"/>
      <c r="F8" s="198" t="s">
        <v>259</v>
      </c>
    </row>
    <row r="9" spans="1:6" s="44" customFormat="1" ht="12.75">
      <c r="A9" s="195" t="s">
        <v>264</v>
      </c>
      <c r="B9" s="196" t="s">
        <v>86</v>
      </c>
      <c r="C9" s="197">
        <f>C10+C12</f>
        <v>0</v>
      </c>
      <c r="D9" s="197">
        <v>0</v>
      </c>
      <c r="E9" s="197"/>
      <c r="F9" s="198" t="s">
        <v>259</v>
      </c>
    </row>
    <row r="10" spans="1:6" s="44" customFormat="1" ht="12.75">
      <c r="A10" s="195" t="s">
        <v>265</v>
      </c>
      <c r="B10" s="199" t="s">
        <v>50</v>
      </c>
      <c r="C10" s="200"/>
      <c r="D10" s="200"/>
      <c r="E10" s="200"/>
      <c r="F10" s="198" t="s">
        <v>259</v>
      </c>
    </row>
    <row r="11" spans="1:6" s="44" customFormat="1" ht="12.75">
      <c r="A11" s="195" t="s">
        <v>266</v>
      </c>
      <c r="B11" s="199" t="s">
        <v>51</v>
      </c>
      <c r="C11" s="200"/>
      <c r="D11" s="200"/>
      <c r="E11" s="200"/>
      <c r="F11" s="198" t="s">
        <v>259</v>
      </c>
    </row>
    <row r="12" spans="1:6" s="44" customFormat="1" ht="12.75">
      <c r="A12" s="195" t="s">
        <v>267</v>
      </c>
      <c r="B12" s="196" t="s">
        <v>81</v>
      </c>
      <c r="C12" s="197">
        <f>C13+C14+C15+C16</f>
        <v>0</v>
      </c>
      <c r="D12" s="197">
        <v>0</v>
      </c>
      <c r="E12" s="197"/>
      <c r="F12" s="198" t="s">
        <v>259</v>
      </c>
    </row>
    <row r="13" spans="1:6" s="44" customFormat="1" ht="12.75">
      <c r="A13" s="195" t="s">
        <v>268</v>
      </c>
      <c r="B13" s="199" t="s">
        <v>87</v>
      </c>
      <c r="C13" s="200"/>
      <c r="D13" s="200"/>
      <c r="E13" s="200"/>
      <c r="F13" s="198" t="s">
        <v>259</v>
      </c>
    </row>
    <row r="14" spans="1:6" s="44" customFormat="1" ht="12.75">
      <c r="A14" s="195" t="s">
        <v>269</v>
      </c>
      <c r="B14" s="199" t="s">
        <v>90</v>
      </c>
      <c r="C14" s="200"/>
      <c r="D14" s="200"/>
      <c r="E14" s="200"/>
      <c r="F14" s="198" t="s">
        <v>259</v>
      </c>
    </row>
    <row r="15" spans="1:6" s="44" customFormat="1" ht="12.75">
      <c r="A15" s="195" t="s">
        <v>270</v>
      </c>
      <c r="B15" s="199" t="s">
        <v>92</v>
      </c>
      <c r="C15" s="200"/>
      <c r="D15" s="200"/>
      <c r="E15" s="200"/>
      <c r="F15" s="198" t="s">
        <v>259</v>
      </c>
    </row>
    <row r="16" spans="1:6" s="44" customFormat="1" ht="12.75">
      <c r="A16" s="195" t="s">
        <v>271</v>
      </c>
      <c r="B16" s="199" t="s">
        <v>94</v>
      </c>
      <c r="C16" s="200"/>
      <c r="D16" s="200"/>
      <c r="E16" s="200"/>
      <c r="F16" s="198" t="s">
        <v>259</v>
      </c>
    </row>
    <row r="17" spans="1:6" s="44" customFormat="1" ht="12.75">
      <c r="A17" s="195" t="s">
        <v>272</v>
      </c>
      <c r="B17" s="196" t="s">
        <v>82</v>
      </c>
      <c r="C17" s="197">
        <f>C18+C19</f>
        <v>0</v>
      </c>
      <c r="D17" s="197">
        <v>0</v>
      </c>
      <c r="E17" s="197"/>
      <c r="F17" s="198" t="s">
        <v>259</v>
      </c>
    </row>
    <row r="18" spans="1:6" s="44" customFormat="1" ht="12.75">
      <c r="A18" s="195" t="s">
        <v>273</v>
      </c>
      <c r="B18" s="199" t="s">
        <v>25</v>
      </c>
      <c r="C18" s="200"/>
      <c r="D18" s="200"/>
      <c r="E18" s="200"/>
      <c r="F18" s="198" t="s">
        <v>259</v>
      </c>
    </row>
    <row r="19" spans="1:6" s="44" customFormat="1" ht="12.75">
      <c r="A19" s="195" t="s">
        <v>274</v>
      </c>
      <c r="B19" s="199" t="s">
        <v>26</v>
      </c>
      <c r="C19" s="200"/>
      <c r="D19" s="200"/>
      <c r="E19" s="200"/>
      <c r="F19" s="198" t="s">
        <v>259</v>
      </c>
    </row>
    <row r="20" spans="1:6" s="44" customFormat="1" ht="12.75">
      <c r="A20" s="195" t="s">
        <v>275</v>
      </c>
      <c r="B20" s="196" t="s">
        <v>83</v>
      </c>
      <c r="C20" s="197"/>
      <c r="D20" s="197">
        <v>0</v>
      </c>
      <c r="E20" s="197"/>
      <c r="F20" s="198" t="s">
        <v>259</v>
      </c>
    </row>
    <row r="21" spans="1:6" s="44" customFormat="1" ht="12.75">
      <c r="A21" s="195" t="s">
        <v>276</v>
      </c>
      <c r="B21" s="196" t="s">
        <v>0</v>
      </c>
      <c r="C21" s="197"/>
      <c r="D21" s="197">
        <v>0</v>
      </c>
      <c r="E21" s="197"/>
      <c r="F21" s="198" t="s">
        <v>259</v>
      </c>
    </row>
    <row r="22" spans="1:6" s="44" customFormat="1" ht="12.75">
      <c r="A22" s="195" t="s">
        <v>277</v>
      </c>
      <c r="B22" s="196" t="s">
        <v>278</v>
      </c>
      <c r="C22" s="197">
        <f>C23+C24</f>
        <v>0</v>
      </c>
      <c r="D22" s="197">
        <v>0</v>
      </c>
      <c r="E22" s="197"/>
      <c r="F22" s="198" t="s">
        <v>259</v>
      </c>
    </row>
    <row r="23" spans="1:6" s="44" customFormat="1" ht="12.75">
      <c r="A23" s="195" t="s">
        <v>279</v>
      </c>
      <c r="B23" s="199" t="s">
        <v>280</v>
      </c>
      <c r="C23" s="200"/>
      <c r="D23" s="200"/>
      <c r="E23" s="200"/>
      <c r="F23" s="198" t="s">
        <v>259</v>
      </c>
    </row>
    <row r="24" spans="1:6" s="44" customFormat="1" ht="12.75">
      <c r="A24" s="195" t="s">
        <v>281</v>
      </c>
      <c r="B24" s="199" t="s">
        <v>55</v>
      </c>
      <c r="C24" s="200"/>
      <c r="D24" s="200"/>
      <c r="E24" s="200"/>
      <c r="F24" s="198" t="s">
        <v>259</v>
      </c>
    </row>
    <row r="25" spans="1:6" s="44" customFormat="1" ht="12.75">
      <c r="A25" s="195" t="s">
        <v>282</v>
      </c>
      <c r="B25" s="199" t="s">
        <v>283</v>
      </c>
      <c r="C25" s="200"/>
      <c r="D25" s="200"/>
      <c r="E25" s="200"/>
      <c r="F25" s="198" t="s">
        <v>259</v>
      </c>
    </row>
    <row r="26" spans="1:6" s="44" customFormat="1" ht="12.75">
      <c r="A26" s="195" t="s">
        <v>284</v>
      </c>
      <c r="B26" s="196" t="s">
        <v>33</v>
      </c>
      <c r="C26" s="197">
        <f>C27+C28</f>
        <v>0</v>
      </c>
      <c r="D26" s="197">
        <v>0</v>
      </c>
      <c r="E26" s="197"/>
      <c r="F26" s="198" t="s">
        <v>259</v>
      </c>
    </row>
    <row r="27" spans="1:6" s="44" customFormat="1" ht="12.75">
      <c r="A27" s="195" t="s">
        <v>285</v>
      </c>
      <c r="B27" s="199" t="s">
        <v>286</v>
      </c>
      <c r="C27" s="197"/>
      <c r="D27" s="197"/>
      <c r="E27" s="197"/>
      <c r="F27" s="198" t="s">
        <v>259</v>
      </c>
    </row>
    <row r="28" spans="1:6" s="44" customFormat="1" ht="12.75">
      <c r="A28" s="195" t="s">
        <v>287</v>
      </c>
      <c r="B28" s="199" t="s">
        <v>288</v>
      </c>
      <c r="C28" s="197"/>
      <c r="D28" s="197"/>
      <c r="E28" s="197"/>
      <c r="F28" s="198" t="s">
        <v>259</v>
      </c>
    </row>
    <row r="29" spans="1:6" s="44" customFormat="1" ht="12.75">
      <c r="A29" s="195" t="s">
        <v>289</v>
      </c>
      <c r="B29" s="199" t="s">
        <v>103</v>
      </c>
      <c r="C29" s="197"/>
      <c r="D29" s="197"/>
      <c r="E29" s="197"/>
      <c r="F29" s="198"/>
    </row>
    <row r="30" spans="1:6" s="44" customFormat="1" ht="12.75">
      <c r="A30" s="195" t="s">
        <v>290</v>
      </c>
      <c r="B30" s="196" t="s">
        <v>291</v>
      </c>
      <c r="C30" s="197">
        <f>C31+C32</f>
        <v>0</v>
      </c>
      <c r="D30" s="197">
        <v>0</v>
      </c>
      <c r="E30" s="197"/>
      <c r="F30" s="198" t="s">
        <v>259</v>
      </c>
    </row>
    <row r="31" spans="1:6" s="44" customFormat="1" ht="12.75">
      <c r="A31" s="195" t="s">
        <v>292</v>
      </c>
      <c r="B31" s="199" t="s">
        <v>293</v>
      </c>
      <c r="C31" s="200"/>
      <c r="D31" s="200"/>
      <c r="E31" s="200"/>
      <c r="F31" s="198" t="s">
        <v>259</v>
      </c>
    </row>
    <row r="32" spans="1:6" s="44" customFormat="1" ht="12.75">
      <c r="A32" s="195" t="s">
        <v>294</v>
      </c>
      <c r="B32" s="199" t="s">
        <v>295</v>
      </c>
      <c r="C32" s="200"/>
      <c r="D32" s="200"/>
      <c r="E32" s="200"/>
      <c r="F32" s="198" t="s">
        <v>259</v>
      </c>
    </row>
    <row r="33" spans="1:6" s="44" customFormat="1" ht="22.5" customHeight="1">
      <c r="A33" s="195" t="s">
        <v>296</v>
      </c>
      <c r="B33" s="196" t="s">
        <v>84</v>
      </c>
      <c r="C33" s="197"/>
      <c r="D33" s="197">
        <v>0</v>
      </c>
      <c r="E33" s="197"/>
      <c r="F33" s="198" t="s">
        <v>259</v>
      </c>
    </row>
    <row r="34" spans="1:6" s="44" customFormat="1" ht="25.5" customHeight="1">
      <c r="A34" s="195" t="s">
        <v>297</v>
      </c>
      <c r="B34" s="196" t="s">
        <v>40</v>
      </c>
      <c r="C34" s="197"/>
      <c r="D34" s="197">
        <v>0</v>
      </c>
      <c r="E34" s="197"/>
      <c r="F34" s="198" t="s">
        <v>259</v>
      </c>
    </row>
    <row r="35" spans="1:6" s="44" customFormat="1" ht="25.5" customHeight="1">
      <c r="A35" s="195" t="s">
        <v>298</v>
      </c>
      <c r="B35" s="196" t="s">
        <v>61</v>
      </c>
      <c r="C35" s="197"/>
      <c r="D35" s="197">
        <v>0</v>
      </c>
      <c r="E35" s="197"/>
      <c r="F35" s="198" t="s">
        <v>259</v>
      </c>
    </row>
    <row r="36" spans="2:5" ht="12.75">
      <c r="B36" s="201"/>
      <c r="C36" s="202"/>
      <c r="D36" s="202"/>
      <c r="E36" s="202"/>
    </row>
    <row r="37" spans="1:7" s="44" customFormat="1" ht="45" customHeight="1">
      <c r="A37" s="8"/>
      <c r="B37" s="192" t="s">
        <v>299</v>
      </c>
      <c r="C37" s="197">
        <f>C6+C9+C12+C17+C20+C21+C22+C26+C30+C33+C34+C35</f>
        <v>0</v>
      </c>
      <c r="D37" s="197"/>
      <c r="E37" s="197"/>
      <c r="F37" s="203" t="s">
        <v>300</v>
      </c>
      <c r="G37" s="204"/>
    </row>
    <row r="38" spans="1:7" s="44" customFormat="1" ht="12.75">
      <c r="A38" s="8"/>
      <c r="F38" s="205"/>
      <c r="G38" s="205"/>
    </row>
    <row r="39" spans="1:7" s="44" customFormat="1" ht="27.75" customHeight="1">
      <c r="A39" s="8"/>
      <c r="B39" s="192" t="s">
        <v>301</v>
      </c>
      <c r="C39" s="206">
        <v>60000</v>
      </c>
      <c r="D39" s="204"/>
      <c r="E39" s="204"/>
      <c r="F39" s="204"/>
      <c r="G39" s="204"/>
    </row>
  </sheetData>
  <sheetProtection/>
  <printOptions/>
  <pageMargins left="0.7086614173228347" right="0.7086614173228347" top="0.7480314960629921" bottom="0.7480314960629921" header="0.31496062992125984" footer="0.31496062992125984"/>
  <pageSetup fitToHeight="1" fitToWidth="1"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B1:J44"/>
  <sheetViews>
    <sheetView zoomScale="80" zoomScaleNormal="80" zoomScalePageLayoutView="0" workbookViewId="0" topLeftCell="A1">
      <selection activeCell="E6" sqref="E6:E11"/>
    </sheetView>
  </sheetViews>
  <sheetFormatPr defaultColWidth="8.8515625" defaultRowHeight="12.75"/>
  <cols>
    <col min="1" max="1" width="8.8515625" style="333" customWidth="1"/>
    <col min="3" max="3" width="39.8515625" style="0" customWidth="1"/>
    <col min="4" max="4" width="28.140625" style="0" customWidth="1"/>
    <col min="5" max="5" width="28.7109375" style="0" customWidth="1"/>
    <col min="6" max="6" width="46.00390625" style="424" customWidth="1"/>
    <col min="7" max="7" width="89.140625" style="0" customWidth="1"/>
    <col min="8" max="8" width="8.8515625" style="333" customWidth="1"/>
    <col min="9" max="9" width="17.7109375" style="0" hidden="1" customWidth="1"/>
    <col min="10" max="10" width="19.28125" style="0" hidden="1" customWidth="1"/>
  </cols>
  <sheetData>
    <row r="1" s="333" customFormat="1" ht="12.75">
      <c r="F1" s="422"/>
    </row>
    <row r="2" spans="2:6" s="333" customFormat="1" ht="18">
      <c r="B2" s="334" t="s">
        <v>251</v>
      </c>
      <c r="F2" s="422"/>
    </row>
    <row r="3" s="333" customFormat="1" ht="12.75">
      <c r="F3" s="422"/>
    </row>
    <row r="4" spans="2:7" ht="12.75">
      <c r="B4" s="192" t="s">
        <v>252</v>
      </c>
      <c r="C4" s="192" t="s">
        <v>253</v>
      </c>
      <c r="D4" s="193" t="s">
        <v>254</v>
      </c>
      <c r="E4" s="193" t="s">
        <v>255</v>
      </c>
      <c r="F4" s="423" t="s">
        <v>256</v>
      </c>
      <c r="G4" s="194" t="s">
        <v>257</v>
      </c>
    </row>
    <row r="5" spans="2:10" ht="31.5" customHeight="1">
      <c r="B5" s="195" t="s">
        <v>258</v>
      </c>
      <c r="C5" s="196" t="s">
        <v>424</v>
      </c>
      <c r="D5" s="197">
        <f>D6+D7+D8+D9+D10+D11</f>
        <v>0</v>
      </c>
      <c r="E5" s="197">
        <v>12492163</v>
      </c>
      <c r="F5" s="429" t="str">
        <f>IF(SUM(D6:D11)&lt;=0,"Attenzione! Il valore complessivo non è stato inserito",IF(SUM(D6:D11)&gt;E5,"Attenzione: Il valore complessivo è superiore al massimale","OK"))</f>
        <v>Attenzione! Il valore complessivo non è stato inserito</v>
      </c>
      <c r="G5" s="203" t="s">
        <v>538</v>
      </c>
      <c r="I5" s="428">
        <f>D5-J5</f>
        <v>-12492133.625</v>
      </c>
      <c r="J5" s="312">
        <v>12492133.625</v>
      </c>
    </row>
    <row r="6" spans="2:10" ht="27.75" customHeight="1">
      <c r="B6" s="195" t="s">
        <v>260</v>
      </c>
      <c r="C6" s="199" t="s">
        <v>165</v>
      </c>
      <c r="D6" s="200">
        <f>'Tabella B'!F5*'Tabella C'!H5</f>
        <v>0</v>
      </c>
      <c r="E6" s="482"/>
      <c r="F6" s="430" t="str">
        <f aca="true" t="shared" si="0" ref="F6:F11">IF(D6&lt;=0,"Attenzione! Il valore complessivo non è stato inserito","")</f>
        <v>Attenzione! Il valore complessivo non è stato inserito</v>
      </c>
      <c r="G6" s="203" t="s">
        <v>539</v>
      </c>
      <c r="I6" s="428">
        <f aca="true" t="shared" si="1" ref="I6:I24">D6-J6</f>
        <v>-5525631.25</v>
      </c>
      <c r="J6" s="427">
        <v>5525631.25</v>
      </c>
    </row>
    <row r="7" spans="2:10" ht="42" customHeight="1">
      <c r="B7" s="195" t="s">
        <v>262</v>
      </c>
      <c r="C7" s="199" t="s">
        <v>112</v>
      </c>
      <c r="D7" s="200">
        <f>'Tabella B'!F6*'Tabella C'!H5</f>
        <v>0</v>
      </c>
      <c r="E7" s="483"/>
      <c r="F7" s="430" t="str">
        <f t="shared" si="0"/>
        <v>Attenzione! Il valore complessivo non è stato inserito</v>
      </c>
      <c r="G7" s="203" t="s">
        <v>593</v>
      </c>
      <c r="I7" s="428">
        <f t="shared" si="1"/>
        <v>-3830939.375</v>
      </c>
      <c r="J7" s="427">
        <v>3830939.375</v>
      </c>
    </row>
    <row r="8" spans="2:10" ht="25.5">
      <c r="B8" s="195" t="s">
        <v>465</v>
      </c>
      <c r="C8" s="199" t="s">
        <v>111</v>
      </c>
      <c r="D8" s="200">
        <f>'Tabella B'!F7*'Tabella C'!H7</f>
        <v>0</v>
      </c>
      <c r="E8" s="483"/>
      <c r="F8" s="430" t="str">
        <f t="shared" si="0"/>
        <v>Attenzione! Il valore complessivo non è stato inserito</v>
      </c>
      <c r="G8" s="404" t="s">
        <v>541</v>
      </c>
      <c r="I8" s="428">
        <f t="shared" si="1"/>
        <v>-1317380</v>
      </c>
      <c r="J8" s="312">
        <v>1317380</v>
      </c>
    </row>
    <row r="9" spans="2:10" ht="25.5">
      <c r="B9" s="195" t="s">
        <v>466</v>
      </c>
      <c r="C9" s="199" t="s">
        <v>106</v>
      </c>
      <c r="D9" s="200">
        <f>'Tabella B'!F8*'Tabella C'!H8</f>
        <v>0</v>
      </c>
      <c r="E9" s="483"/>
      <c r="F9" s="430" t="str">
        <f t="shared" si="0"/>
        <v>Attenzione! Il valore complessivo non è stato inserito</v>
      </c>
      <c r="G9" s="404" t="s">
        <v>542</v>
      </c>
      <c r="I9" s="428">
        <f t="shared" si="1"/>
        <v>-474654</v>
      </c>
      <c r="J9" s="312">
        <v>474654</v>
      </c>
    </row>
    <row r="10" spans="2:10" ht="25.5">
      <c r="B10" s="195" t="s">
        <v>467</v>
      </c>
      <c r="C10" s="199" t="s">
        <v>107</v>
      </c>
      <c r="D10" s="200">
        <f>'Tabella B'!F9*'Tabella C'!H9</f>
        <v>0</v>
      </c>
      <c r="E10" s="483"/>
      <c r="F10" s="430" t="str">
        <f t="shared" si="0"/>
        <v>Attenzione! Il valore complessivo non è stato inserito</v>
      </c>
      <c r="G10" s="404" t="s">
        <v>543</v>
      </c>
      <c r="I10" s="428">
        <f t="shared" si="1"/>
        <v>-316105</v>
      </c>
      <c r="J10" s="312">
        <v>316105</v>
      </c>
    </row>
    <row r="11" spans="2:10" ht="25.5">
      <c r="B11" s="195" t="s">
        <v>468</v>
      </c>
      <c r="C11" s="199" t="s">
        <v>108</v>
      </c>
      <c r="D11" s="200">
        <f>'Tabella B'!F10*'Tabella C'!E9</f>
        <v>0</v>
      </c>
      <c r="E11" s="484"/>
      <c r="F11" s="430" t="str">
        <f t="shared" si="0"/>
        <v>Attenzione! Il valore complessivo non è stato inserito</v>
      </c>
      <c r="G11" s="404" t="s">
        <v>544</v>
      </c>
      <c r="I11" s="428">
        <f t="shared" si="1"/>
        <v>-1027424</v>
      </c>
      <c r="J11" s="312">
        <v>1027424</v>
      </c>
    </row>
    <row r="12" spans="2:10" ht="15.75" customHeight="1">
      <c r="B12" s="195" t="s">
        <v>264</v>
      </c>
      <c r="C12" s="196" t="s">
        <v>425</v>
      </c>
      <c r="D12" s="197">
        <f>D13+D14+D15</f>
        <v>0</v>
      </c>
      <c r="E12" s="332"/>
      <c r="F12" s="429"/>
      <c r="G12" s="203" t="s">
        <v>540</v>
      </c>
      <c r="I12" s="428">
        <f t="shared" si="1"/>
        <v>-6715877.938923484</v>
      </c>
      <c r="J12" s="311">
        <v>6715877.938923484</v>
      </c>
    </row>
    <row r="13" spans="2:10" ht="30.75" customHeight="1">
      <c r="B13" s="195" t="s">
        <v>265</v>
      </c>
      <c r="C13" s="199" t="s">
        <v>547</v>
      </c>
      <c r="D13" s="200">
        <f>'Tabella B'!F11*'Tabella C'!H10</f>
        <v>0</v>
      </c>
      <c r="E13" s="197">
        <v>3638905</v>
      </c>
      <c r="F13" s="429" t="str">
        <f>IF(TYPE(D13)&gt;1,"Attenzione! Il valore complessivo non è stato inserito",IF(D13&lt;=0,"Attenzione! Il valore complessivo non è stato inserito",IF(D13&gt;E13,"Attenzione: Il valore complessivo è superiore al massimale","OK")))</f>
        <v>Attenzione! Il valore complessivo non è stato inserito</v>
      </c>
      <c r="G13" s="203" t="s">
        <v>594</v>
      </c>
      <c r="I13" s="428">
        <f t="shared" si="1"/>
        <v>-3638904.1620337497</v>
      </c>
      <c r="J13" s="310">
        <v>3638904.1620337497</v>
      </c>
    </row>
    <row r="14" spans="2:10" ht="44.25" customHeight="1">
      <c r="B14" s="195" t="s">
        <v>266</v>
      </c>
      <c r="C14" s="199" t="s">
        <v>51</v>
      </c>
      <c r="D14" s="200">
        <f>'Tabella B'!F12*'Tabella C'!H42</f>
        <v>0</v>
      </c>
      <c r="E14" s="197">
        <v>2138122</v>
      </c>
      <c r="F14" s="429" t="str">
        <f aca="true" t="shared" si="2" ref="F14:F38">IF(TYPE(D14)&gt;1,"Attenzione! Il valore complessivo non è stato inserito",IF(D14&lt;=0,"Attenzione! Il valore complessivo non è stato inserito",IF(D14&gt;E14,"Attenzione: Il valore complessivo è superiore al massimale","OK")))</f>
        <v>Attenzione! Il valore complessivo non è stato inserito</v>
      </c>
      <c r="G14" s="196" t="s">
        <v>596</v>
      </c>
      <c r="I14" s="428">
        <f t="shared" si="1"/>
        <v>-2138121.492755804</v>
      </c>
      <c r="J14" s="310">
        <v>2138121.492755804</v>
      </c>
    </row>
    <row r="15" spans="2:10" ht="38.25" customHeight="1">
      <c r="B15" s="195" t="s">
        <v>533</v>
      </c>
      <c r="C15" s="199" t="s">
        <v>549</v>
      </c>
      <c r="D15" s="200">
        <f>'Tabella B'!F13*'Tabella C'!H12</f>
        <v>0</v>
      </c>
      <c r="E15" s="197">
        <v>938852</v>
      </c>
      <c r="F15" s="429" t="str">
        <f t="shared" si="2"/>
        <v>Attenzione! Il valore complessivo non è stato inserito</v>
      </c>
      <c r="G15" s="404" t="s">
        <v>550</v>
      </c>
      <c r="I15" s="428">
        <f t="shared" si="1"/>
        <v>-938852.2841339307</v>
      </c>
      <c r="J15" s="310">
        <v>938852.2841339307</v>
      </c>
    </row>
    <row r="16" spans="2:10" ht="55.5" customHeight="1">
      <c r="B16" s="195" t="s">
        <v>267</v>
      </c>
      <c r="C16" s="196" t="s">
        <v>432</v>
      </c>
      <c r="D16" s="197">
        <f>'Tabella B'!F14*'Tabella C'!H13+'Tabella B'!F15*'Tabella C'!H14+'Tabella B'!F16*'Tabella C'!H15+'Tabella B'!F17*'Tabella C'!H16+'Tabella B'!F18*'Tabella C'!H17</f>
        <v>0</v>
      </c>
      <c r="E16" s="197">
        <v>1252599</v>
      </c>
      <c r="F16" s="429" t="str">
        <f t="shared" si="2"/>
        <v>Attenzione! Il valore complessivo non è stato inserito</v>
      </c>
      <c r="G16" s="203" t="s">
        <v>551</v>
      </c>
      <c r="I16" s="428">
        <f t="shared" si="1"/>
        <v>-1251727.5</v>
      </c>
      <c r="J16" s="312">
        <v>1251727.5</v>
      </c>
    </row>
    <row r="17" spans="2:10" ht="22.5">
      <c r="B17" s="195" t="s">
        <v>272</v>
      </c>
      <c r="C17" s="196" t="s">
        <v>426</v>
      </c>
      <c r="D17" s="197">
        <f>D18+D19+D20+D21</f>
        <v>0</v>
      </c>
      <c r="E17" s="332"/>
      <c r="F17" s="429"/>
      <c r="G17" s="203" t="s">
        <v>552</v>
      </c>
      <c r="I17" s="428">
        <f t="shared" si="1"/>
        <v>-4210415.453725205</v>
      </c>
      <c r="J17" s="312">
        <v>4210415.453725205</v>
      </c>
    </row>
    <row r="18" spans="2:10" ht="30.75" customHeight="1">
      <c r="B18" s="195" t="s">
        <v>273</v>
      </c>
      <c r="C18" s="199" t="s">
        <v>110</v>
      </c>
      <c r="D18" s="200">
        <f>'Tabella C'!H18*60</f>
        <v>0</v>
      </c>
      <c r="E18" s="197">
        <v>1440416</v>
      </c>
      <c r="F18" s="429" t="str">
        <f t="shared" si="2"/>
        <v>Attenzione! Il valore complessivo non è stato inserito</v>
      </c>
      <c r="G18" s="203" t="s">
        <v>553</v>
      </c>
      <c r="I18" s="428">
        <f t="shared" si="1"/>
        <v>-1440415.4537252043</v>
      </c>
      <c r="J18" s="310">
        <v>1440415.4537252043</v>
      </c>
    </row>
    <row r="19" spans="2:10" ht="25.5">
      <c r="B19" s="195" t="s">
        <v>274</v>
      </c>
      <c r="C19" s="199" t="s">
        <v>26</v>
      </c>
      <c r="D19" s="200">
        <f>'Tabella B'!F20*'Tabella C'!H19</f>
        <v>0</v>
      </c>
      <c r="E19" s="197">
        <v>1505000</v>
      </c>
      <c r="F19" s="429" t="str">
        <f t="shared" si="2"/>
        <v>Attenzione! Il valore complessivo non è stato inserito</v>
      </c>
      <c r="G19" s="404" t="s">
        <v>554</v>
      </c>
      <c r="I19" s="428">
        <f t="shared" si="1"/>
        <v>-1505000</v>
      </c>
      <c r="J19" s="310">
        <v>1505000</v>
      </c>
    </row>
    <row r="20" spans="2:10" ht="25.5">
      <c r="B20" s="195" t="s">
        <v>472</v>
      </c>
      <c r="C20" s="199" t="s">
        <v>109</v>
      </c>
      <c r="D20" s="200">
        <f>'Tabella C'!H20*60</f>
        <v>0</v>
      </c>
      <c r="E20" s="197">
        <v>935000</v>
      </c>
      <c r="F20" s="429" t="str">
        <f t="shared" si="2"/>
        <v>Attenzione! Il valore complessivo non è stato inserito</v>
      </c>
      <c r="G20" s="203" t="s">
        <v>555</v>
      </c>
      <c r="I20" s="428">
        <f t="shared" si="1"/>
        <v>-935000</v>
      </c>
      <c r="J20" s="310">
        <v>935000</v>
      </c>
    </row>
    <row r="21" spans="2:10" ht="25.5">
      <c r="B21" s="195" t="s">
        <v>473</v>
      </c>
      <c r="C21" s="199" t="s">
        <v>103</v>
      </c>
      <c r="D21" s="200">
        <f>'Tabella B'!F22*'Tabella C'!H21</f>
        <v>0</v>
      </c>
      <c r="E21" s="197">
        <v>330000</v>
      </c>
      <c r="F21" s="429" t="str">
        <f t="shared" si="2"/>
        <v>Attenzione! Il valore complessivo non è stato inserito</v>
      </c>
      <c r="G21" s="404" t="s">
        <v>556</v>
      </c>
      <c r="I21" s="428">
        <f t="shared" si="1"/>
        <v>-330000</v>
      </c>
      <c r="J21" s="310">
        <v>330000</v>
      </c>
    </row>
    <row r="22" spans="2:10" ht="27.75" customHeight="1">
      <c r="B22" s="195" t="s">
        <v>275</v>
      </c>
      <c r="C22" s="196" t="s">
        <v>431</v>
      </c>
      <c r="D22" s="426" t="str">
        <f>IF('Tabella C'!E43&lt;&gt;"",'Tabella B'!F23*(1+'Tabella C'!H43),"0,00")</f>
        <v>0,00</v>
      </c>
      <c r="E22" s="197">
        <v>6427788</v>
      </c>
      <c r="F22" s="429" t="str">
        <f t="shared" si="2"/>
        <v>Attenzione! Il valore complessivo non è stato inserito</v>
      </c>
      <c r="G22" s="404" t="s">
        <v>597</v>
      </c>
      <c r="I22" s="428">
        <f t="shared" si="1"/>
        <v>-6427787.51</v>
      </c>
      <c r="J22" s="312">
        <v>6427787.51</v>
      </c>
    </row>
    <row r="23" spans="2:10" ht="27" customHeight="1">
      <c r="B23" s="195" t="s">
        <v>276</v>
      </c>
      <c r="C23" s="196" t="s">
        <v>427</v>
      </c>
      <c r="D23" s="197">
        <f>'Tabella B'!F24*'Tabella C'!H23</f>
        <v>0</v>
      </c>
      <c r="E23" s="197">
        <v>1400000</v>
      </c>
      <c r="F23" s="429" t="str">
        <f t="shared" si="2"/>
        <v>Attenzione! Il valore complessivo non è stato inserito</v>
      </c>
      <c r="G23" s="404" t="s">
        <v>557</v>
      </c>
      <c r="I23" s="428">
        <f t="shared" si="1"/>
        <v>-1400000</v>
      </c>
      <c r="J23" s="312">
        <v>1400000</v>
      </c>
    </row>
    <row r="24" spans="2:10" ht="42" customHeight="1">
      <c r="B24" s="195" t="s">
        <v>277</v>
      </c>
      <c r="C24" s="196" t="s">
        <v>428</v>
      </c>
      <c r="D24" s="197">
        <f>'Tabella B'!F25*'Tabella C'!H24+'Tabella B'!F26*'Tabella C'!H25+'Tabella B'!F27*'Tabella C'!H26+'Tabella B'!F28*'Tabella C'!H27</f>
        <v>0</v>
      </c>
      <c r="E24" s="197">
        <v>1190773</v>
      </c>
      <c r="F24" s="429" t="str">
        <f t="shared" si="2"/>
        <v>Attenzione! Il valore complessivo non è stato inserito</v>
      </c>
      <c r="G24" s="203" t="s">
        <v>558</v>
      </c>
      <c r="I24" s="428">
        <f t="shared" si="1"/>
        <v>-1190635.39359375</v>
      </c>
      <c r="J24" s="312">
        <v>1190635.39359375</v>
      </c>
    </row>
    <row r="25" spans="2:10" ht="24.75" customHeight="1">
      <c r="B25" s="195" t="s">
        <v>284</v>
      </c>
      <c r="C25" s="196" t="s">
        <v>429</v>
      </c>
      <c r="D25" s="197">
        <f>D26+D27+D28</f>
        <v>0</v>
      </c>
      <c r="E25" s="332"/>
      <c r="F25" s="429"/>
      <c r="G25" s="203" t="s">
        <v>559</v>
      </c>
      <c r="I25" s="428">
        <f>D25-J25</f>
        <v>-5206995.1</v>
      </c>
      <c r="J25" s="312">
        <v>5206995.1</v>
      </c>
    </row>
    <row r="26" spans="2:10" ht="45">
      <c r="B26" s="195" t="s">
        <v>285</v>
      </c>
      <c r="C26" s="199" t="s">
        <v>61</v>
      </c>
      <c r="D26" s="200">
        <f>'Tabella B'!F29*'Tabella C'!H28*12</f>
        <v>0</v>
      </c>
      <c r="E26" s="197">
        <v>4509100</v>
      </c>
      <c r="F26" s="429" t="str">
        <f t="shared" si="2"/>
        <v>Attenzione! Il valore complessivo non è stato inserito</v>
      </c>
      <c r="G26" s="404" t="s">
        <v>592</v>
      </c>
      <c r="I26" s="428">
        <f>D26-J26</f>
        <v>-4508915.1</v>
      </c>
      <c r="J26" s="310">
        <v>4508915.1</v>
      </c>
    </row>
    <row r="27" spans="2:10" ht="29.25" customHeight="1">
      <c r="B27" s="195" t="s">
        <v>287</v>
      </c>
      <c r="C27" s="199" t="s">
        <v>175</v>
      </c>
      <c r="D27" s="200">
        <f>'Tabella B'!F30*'Tabella C'!H29</f>
        <v>0</v>
      </c>
      <c r="E27" s="197">
        <v>38080</v>
      </c>
      <c r="F27" s="429" t="str">
        <f t="shared" si="2"/>
        <v>Attenzione! Il valore complessivo non è stato inserito</v>
      </c>
      <c r="G27" s="404" t="s">
        <v>561</v>
      </c>
      <c r="I27" s="428">
        <f>D27-J27</f>
        <v>-38080</v>
      </c>
      <c r="J27" s="310">
        <v>38080</v>
      </c>
    </row>
    <row r="28" spans="2:10" ht="25.5" customHeight="1">
      <c r="B28" s="195" t="s">
        <v>289</v>
      </c>
      <c r="C28" s="199" t="s">
        <v>532</v>
      </c>
      <c r="D28" s="200">
        <f>'Tabella B'!F31*'Tabella C'!H30</f>
        <v>0</v>
      </c>
      <c r="E28" s="197">
        <v>660000</v>
      </c>
      <c r="F28" s="429" t="str">
        <f t="shared" si="2"/>
        <v>Attenzione! Il valore complessivo non è stato inserito</v>
      </c>
      <c r="G28" s="404" t="s">
        <v>580</v>
      </c>
      <c r="I28" s="428">
        <f>D28-J28</f>
        <v>-660000</v>
      </c>
      <c r="J28" s="310">
        <v>660000</v>
      </c>
    </row>
    <row r="29" spans="2:10" ht="17.25" customHeight="1">
      <c r="B29" s="195" t="s">
        <v>290</v>
      </c>
      <c r="C29" s="196" t="s">
        <v>434</v>
      </c>
      <c r="D29" s="197">
        <f>D30+D31+D32+D33+D34</f>
        <v>0</v>
      </c>
      <c r="E29" s="332"/>
      <c r="F29" s="429"/>
      <c r="G29" s="203" t="s">
        <v>588</v>
      </c>
      <c r="I29" s="428">
        <f aca="true" t="shared" si="3" ref="I29:I38">D29-J29</f>
        <v>-10040077.04</v>
      </c>
      <c r="J29" s="313">
        <v>10040077.04</v>
      </c>
    </row>
    <row r="30" spans="2:10" ht="31.5" customHeight="1">
      <c r="B30" s="195" t="s">
        <v>292</v>
      </c>
      <c r="C30" s="199" t="s">
        <v>45</v>
      </c>
      <c r="D30" s="200">
        <f>'Tabella C'!H31*60</f>
        <v>0</v>
      </c>
      <c r="E30" s="197">
        <v>3071569</v>
      </c>
      <c r="F30" s="429" t="str">
        <f t="shared" si="2"/>
        <v>Attenzione! Il valore complessivo non è stato inserito</v>
      </c>
      <c r="G30" s="404" t="s">
        <v>562</v>
      </c>
      <c r="I30" s="428">
        <f t="shared" si="3"/>
        <v>-3071568.5999999996</v>
      </c>
      <c r="J30" s="310">
        <v>3071568.5999999996</v>
      </c>
    </row>
    <row r="31" spans="2:10" ht="30" customHeight="1">
      <c r="B31" s="195" t="s">
        <v>294</v>
      </c>
      <c r="C31" s="199" t="s">
        <v>568</v>
      </c>
      <c r="D31" s="200">
        <f>'Tabella C'!H32*5</f>
        <v>0</v>
      </c>
      <c r="E31" s="197">
        <v>5000000</v>
      </c>
      <c r="F31" s="429" t="str">
        <f t="shared" si="2"/>
        <v>Attenzione! Il valore complessivo non è stato inserito</v>
      </c>
      <c r="G31" s="404" t="s">
        <v>589</v>
      </c>
      <c r="I31" s="428">
        <f t="shared" si="3"/>
        <v>-5000000</v>
      </c>
      <c r="J31" s="310">
        <v>5000000</v>
      </c>
    </row>
    <row r="32" spans="2:10" ht="28.5" customHeight="1">
      <c r="B32" s="195" t="s">
        <v>469</v>
      </c>
      <c r="C32" s="199" t="s">
        <v>583</v>
      </c>
      <c r="D32" s="200">
        <f>'Tabella C'!H33*4</f>
        <v>0</v>
      </c>
      <c r="E32" s="197">
        <v>768509</v>
      </c>
      <c r="F32" s="429" t="str">
        <f t="shared" si="2"/>
        <v>Attenzione! Il valore complessivo non è stato inserito</v>
      </c>
      <c r="G32" s="404" t="s">
        <v>586</v>
      </c>
      <c r="I32" s="428">
        <f t="shared" si="3"/>
        <v>-768508.44</v>
      </c>
      <c r="J32" s="310">
        <v>768508.44</v>
      </c>
    </row>
    <row r="33" spans="2:10" ht="42.75" customHeight="1">
      <c r="B33" s="195" t="s">
        <v>584</v>
      </c>
      <c r="C33" s="199" t="s">
        <v>567</v>
      </c>
      <c r="D33" s="200">
        <f>'Tabella B'!F35*'Tabella C'!H34*12</f>
        <v>0</v>
      </c>
      <c r="E33" s="197">
        <v>200000</v>
      </c>
      <c r="F33" s="429" t="str">
        <f t="shared" si="2"/>
        <v>Attenzione! Il valore complessivo non è stato inserito</v>
      </c>
      <c r="G33" s="404" t="s">
        <v>590</v>
      </c>
      <c r="I33" s="428">
        <f t="shared" si="3"/>
        <v>-200000</v>
      </c>
      <c r="J33" s="310">
        <v>200000</v>
      </c>
    </row>
    <row r="34" spans="2:10" ht="25.5">
      <c r="B34" s="195" t="s">
        <v>585</v>
      </c>
      <c r="C34" s="199" t="s">
        <v>576</v>
      </c>
      <c r="D34" s="200">
        <f>'Tabella B'!F36*'Tabella C'!H35</f>
        <v>0</v>
      </c>
      <c r="E34" s="197">
        <v>1000000</v>
      </c>
      <c r="F34" s="429" t="str">
        <f t="shared" si="2"/>
        <v>Attenzione! Il valore complessivo non è stato inserito</v>
      </c>
      <c r="G34" s="404" t="s">
        <v>577</v>
      </c>
      <c r="I34" s="428">
        <f t="shared" si="3"/>
        <v>-1000000</v>
      </c>
      <c r="J34" s="310">
        <v>1000000</v>
      </c>
    </row>
    <row r="35" spans="2:10" ht="19.5" customHeight="1">
      <c r="B35" s="195" t="s">
        <v>296</v>
      </c>
      <c r="C35" s="196" t="s">
        <v>433</v>
      </c>
      <c r="D35" s="197">
        <f>D36+D37</f>
        <v>0</v>
      </c>
      <c r="E35" s="332"/>
      <c r="F35" s="429"/>
      <c r="G35" s="203" t="s">
        <v>560</v>
      </c>
      <c r="I35" s="428">
        <f t="shared" si="3"/>
        <v>-1412937.5</v>
      </c>
      <c r="J35" s="313">
        <v>1412937.5</v>
      </c>
    </row>
    <row r="36" spans="2:10" ht="25.5">
      <c r="B36" s="195" t="s">
        <v>470</v>
      </c>
      <c r="C36" s="199" t="s">
        <v>33</v>
      </c>
      <c r="D36" s="200">
        <f>'Tabella B'!F37*'Tabella C'!H36</f>
        <v>0</v>
      </c>
      <c r="E36" s="197">
        <v>1271875</v>
      </c>
      <c r="F36" s="429" t="str">
        <f t="shared" si="2"/>
        <v>Attenzione! Il valore complessivo non è stato inserito</v>
      </c>
      <c r="G36" s="404" t="s">
        <v>578</v>
      </c>
      <c r="I36" s="428">
        <f t="shared" si="3"/>
        <v>-1271875</v>
      </c>
      <c r="J36" s="310">
        <v>1271875</v>
      </c>
    </row>
    <row r="37" spans="2:10" ht="25.5">
      <c r="B37" s="195" t="s">
        <v>471</v>
      </c>
      <c r="C37" s="199" t="s">
        <v>104</v>
      </c>
      <c r="D37" s="200">
        <f>'Tabella B'!F38*'Tabella C'!H37</f>
        <v>0</v>
      </c>
      <c r="E37" s="197">
        <v>141063</v>
      </c>
      <c r="F37" s="429" t="str">
        <f t="shared" si="2"/>
        <v>Attenzione! Il valore complessivo non è stato inserito</v>
      </c>
      <c r="G37" s="404" t="s">
        <v>579</v>
      </c>
      <c r="I37" s="428">
        <f t="shared" si="3"/>
        <v>-141062.5</v>
      </c>
      <c r="J37" s="310">
        <v>141062.5</v>
      </c>
    </row>
    <row r="38" spans="2:10" ht="25.5">
      <c r="B38" s="195" t="s">
        <v>297</v>
      </c>
      <c r="C38" s="196" t="s">
        <v>430</v>
      </c>
      <c r="D38" s="197">
        <f>'Tabella B'!F39*'Tabella C'!H38</f>
        <v>0</v>
      </c>
      <c r="E38" s="197">
        <v>160105</v>
      </c>
      <c r="F38" s="429" t="str">
        <f t="shared" si="2"/>
        <v>Attenzione! Il valore complessivo non è stato inserito</v>
      </c>
      <c r="G38" s="404" t="s">
        <v>563</v>
      </c>
      <c r="I38" s="428">
        <f t="shared" si="3"/>
        <v>-160105</v>
      </c>
      <c r="J38" s="312">
        <v>160105</v>
      </c>
    </row>
    <row r="39" spans="6:10" s="333" customFormat="1" ht="12.75">
      <c r="F39" s="431"/>
      <c r="J39"/>
    </row>
    <row r="40" spans="3:7" ht="54" customHeight="1">
      <c r="C40" s="192" t="s">
        <v>299</v>
      </c>
      <c r="D40" s="197">
        <f>D5+D12+D16+D17+D22+D23+D24+D25+D29+D35+D38</f>
        <v>0</v>
      </c>
      <c r="E40" s="197"/>
      <c r="F40" s="429"/>
      <c r="G40" s="203" t="s">
        <v>487</v>
      </c>
    </row>
    <row r="41" spans="6:10" s="333" customFormat="1" ht="12.75">
      <c r="F41" s="422"/>
      <c r="J41"/>
    </row>
    <row r="42" spans="3:7" ht="34.5" customHeight="1">
      <c r="C42" s="192" t="s">
        <v>301</v>
      </c>
      <c r="D42" s="206">
        <f>E5+E13+E14+E15+E16+E18+E19+E20+E21+E22+E23+E24+E26+E27+E28+E30+E31+E32+E33+E34+E36+E37+E38</f>
        <v>50509919</v>
      </c>
      <c r="E42" s="403"/>
      <c r="F42" s="422"/>
      <c r="G42" s="333"/>
    </row>
    <row r="43" spans="5:10" s="333" customFormat="1" ht="13.5" thickBot="1">
      <c r="E43" s="403"/>
      <c r="F43" s="422"/>
      <c r="J43"/>
    </row>
    <row r="44" spans="3:5" ht="30.75" customHeight="1" thickBot="1">
      <c r="C44" s="425" t="s">
        <v>587</v>
      </c>
      <c r="D44" s="485" t="str">
        <f>IF(D40&gt;D42,"Attenzione: Il valore complessivo è superiore al valore di base d'asta",IF(COUNTIF(F5:F38,"OK")&lt;23,"Attenzione: offerta incompleta o inadeguata","OK"))</f>
        <v>Attenzione: offerta incompleta o inadeguata</v>
      </c>
      <c r="E44" s="485"/>
    </row>
  </sheetData>
  <sheetProtection password="A28C" sheet="1" objects="1" scenarios="1"/>
  <mergeCells count="2">
    <mergeCell ref="E6:E11"/>
    <mergeCell ref="D44:E44"/>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B1:F39"/>
  <sheetViews>
    <sheetView zoomScalePageLayoutView="0" workbookViewId="0" topLeftCell="A1">
      <selection activeCell="F5" sqref="F5"/>
    </sheetView>
  </sheetViews>
  <sheetFormatPr defaultColWidth="8.8515625" defaultRowHeight="12.75"/>
  <cols>
    <col min="1" max="1" width="8.8515625" style="44" customWidth="1"/>
    <col min="2" max="2" width="23.421875" style="44" customWidth="1"/>
    <col min="3" max="3" width="51.421875" style="44" customWidth="1"/>
    <col min="4" max="4" width="40.7109375" style="44" customWidth="1"/>
    <col min="5" max="5" width="15.421875" style="44" customWidth="1"/>
    <col min="6" max="6" width="31.00390625" style="44" customWidth="1"/>
    <col min="7" max="7" width="14.00390625" style="44" customWidth="1"/>
    <col min="8" max="8" width="13.421875" style="44" customWidth="1"/>
    <col min="9" max="9" width="13.8515625" style="44" customWidth="1"/>
    <col min="10" max="16384" width="8.8515625" style="44" customWidth="1"/>
  </cols>
  <sheetData>
    <row r="1" s="208" customFormat="1" ht="10.5">
      <c r="E1" s="209"/>
    </row>
    <row r="2" spans="2:5" s="190" customFormat="1" ht="18">
      <c r="B2" s="191" t="s">
        <v>302</v>
      </c>
      <c r="E2" s="210"/>
    </row>
    <row r="3" s="208" customFormat="1" ht="11.25" thickBot="1">
      <c r="E3" s="209"/>
    </row>
    <row r="4" spans="2:6" s="214" customFormat="1" ht="39" thickBot="1">
      <c r="B4" s="211" t="s">
        <v>13</v>
      </c>
      <c r="C4" s="212" t="s">
        <v>14</v>
      </c>
      <c r="D4" s="212" t="s">
        <v>46</v>
      </c>
      <c r="E4" s="212" t="s">
        <v>252</v>
      </c>
      <c r="F4" s="213" t="s">
        <v>303</v>
      </c>
    </row>
    <row r="5" spans="2:6" ht="23.25" customHeight="1">
      <c r="B5" s="465" t="s">
        <v>304</v>
      </c>
      <c r="C5" s="215" t="s">
        <v>261</v>
      </c>
      <c r="D5" s="216" t="s">
        <v>47</v>
      </c>
      <c r="E5" s="220" t="s">
        <v>305</v>
      </c>
      <c r="F5" s="221" t="s">
        <v>259</v>
      </c>
    </row>
    <row r="6" spans="2:6" ht="21.75" thickBot="1">
      <c r="B6" s="466"/>
      <c r="C6" s="222" t="s">
        <v>263</v>
      </c>
      <c r="D6" s="222" t="s">
        <v>48</v>
      </c>
      <c r="E6" s="223" t="s">
        <v>306</v>
      </c>
      <c r="F6" s="224" t="s">
        <v>259</v>
      </c>
    </row>
    <row r="7" spans="2:6" ht="12.75">
      <c r="B7" s="465" t="s">
        <v>307</v>
      </c>
      <c r="C7" s="216" t="s">
        <v>50</v>
      </c>
      <c r="D7" s="216" t="s">
        <v>49</v>
      </c>
      <c r="E7" s="220" t="s">
        <v>308</v>
      </c>
      <c r="F7" s="221" t="s">
        <v>259</v>
      </c>
    </row>
    <row r="8" spans="2:6" ht="13.5" thickBot="1">
      <c r="B8" s="466"/>
      <c r="C8" s="225" t="s">
        <v>51</v>
      </c>
      <c r="D8" s="226" t="s">
        <v>29</v>
      </c>
      <c r="E8" s="227" t="s">
        <v>309</v>
      </c>
      <c r="F8" s="228"/>
    </row>
    <row r="9" spans="2:6" ht="12.75">
      <c r="B9" s="465" t="s">
        <v>310</v>
      </c>
      <c r="C9" s="468" t="e">
        <f>#REF!</f>
        <v>#REF!</v>
      </c>
      <c r="D9" s="216" t="e">
        <f>#REF!</f>
        <v>#REF!</v>
      </c>
      <c r="E9" s="220" t="s">
        <v>311</v>
      </c>
      <c r="F9" s="221" t="s">
        <v>259</v>
      </c>
    </row>
    <row r="10" spans="2:6" ht="12.75">
      <c r="B10" s="467"/>
      <c r="C10" s="469"/>
      <c r="D10" s="229" t="e">
        <f>#REF!</f>
        <v>#REF!</v>
      </c>
      <c r="E10" s="230" t="s">
        <v>312</v>
      </c>
      <c r="F10" s="231" t="s">
        <v>259</v>
      </c>
    </row>
    <row r="11" spans="2:6" ht="12.75">
      <c r="B11" s="467"/>
      <c r="C11" s="229" t="e">
        <f>#REF!</f>
        <v>#REF!</v>
      </c>
      <c r="D11" s="229" t="e">
        <f>#REF!</f>
        <v>#REF!</v>
      </c>
      <c r="E11" s="230" t="s">
        <v>313</v>
      </c>
      <c r="F11" s="231" t="s">
        <v>259</v>
      </c>
    </row>
    <row r="12" spans="2:6" ht="24" customHeight="1">
      <c r="B12" s="467"/>
      <c r="C12" s="229" t="e">
        <f>#REF!</f>
        <v>#REF!</v>
      </c>
      <c r="D12" s="229" t="e">
        <f>#REF!</f>
        <v>#REF!</v>
      </c>
      <c r="E12" s="230" t="s">
        <v>314</v>
      </c>
      <c r="F12" s="231" t="s">
        <v>259</v>
      </c>
    </row>
    <row r="13" spans="2:6" ht="13.5" thickBot="1">
      <c r="B13" s="466"/>
      <c r="C13" s="222" t="e">
        <f>#REF!</f>
        <v>#REF!</v>
      </c>
      <c r="D13" s="222" t="s">
        <v>315</v>
      </c>
      <c r="E13" s="223" t="s">
        <v>316</v>
      </c>
      <c r="F13" s="224" t="s">
        <v>259</v>
      </c>
    </row>
    <row r="14" spans="2:6" ht="12.75">
      <c r="B14" s="465" t="s">
        <v>317</v>
      </c>
      <c r="C14" s="232" t="s">
        <v>25</v>
      </c>
      <c r="D14" s="233" t="s">
        <v>31</v>
      </c>
      <c r="E14" s="234" t="s">
        <v>318</v>
      </c>
      <c r="F14" s="235"/>
    </row>
    <row r="15" spans="2:6" ht="13.5" thickBot="1">
      <c r="B15" s="470"/>
      <c r="C15" s="222" t="s">
        <v>26</v>
      </c>
      <c r="D15" s="222" t="s">
        <v>48</v>
      </c>
      <c r="E15" s="223" t="s">
        <v>319</v>
      </c>
      <c r="F15" s="224" t="s">
        <v>259</v>
      </c>
    </row>
    <row r="16" spans="2:6" ht="21.75" thickBot="1">
      <c r="B16" s="236" t="s">
        <v>320</v>
      </c>
      <c r="C16" s="222" t="s">
        <v>27</v>
      </c>
      <c r="D16" s="222" t="s">
        <v>52</v>
      </c>
      <c r="E16" s="223" t="s">
        <v>321</v>
      </c>
      <c r="F16" s="224" t="s">
        <v>259</v>
      </c>
    </row>
    <row r="17" spans="2:6" ht="27.75" customHeight="1" thickBot="1">
      <c r="B17" s="486" t="s">
        <v>322</v>
      </c>
      <c r="C17" s="487"/>
      <c r="D17" s="237" t="s">
        <v>53</v>
      </c>
      <c r="E17" s="238" t="s">
        <v>323</v>
      </c>
      <c r="F17" s="239" t="s">
        <v>259</v>
      </c>
    </row>
    <row r="18" spans="2:6" ht="12.75">
      <c r="B18" s="488" t="s">
        <v>324</v>
      </c>
      <c r="C18" s="492" t="s">
        <v>325</v>
      </c>
      <c r="D18" s="240" t="s">
        <v>115</v>
      </c>
      <c r="E18" s="241" t="s">
        <v>326</v>
      </c>
      <c r="F18" s="242" t="s">
        <v>259</v>
      </c>
    </row>
    <row r="19" spans="2:6" ht="12.75">
      <c r="B19" s="489"/>
      <c r="C19" s="493"/>
      <c r="D19" s="240" t="s">
        <v>116</v>
      </c>
      <c r="E19" s="243" t="s">
        <v>327</v>
      </c>
      <c r="F19" s="244" t="s">
        <v>259</v>
      </c>
    </row>
    <row r="20" spans="2:6" ht="12.75">
      <c r="B20" s="489"/>
      <c r="C20" s="493"/>
      <c r="D20" s="240" t="s">
        <v>117</v>
      </c>
      <c r="E20" s="243" t="s">
        <v>328</v>
      </c>
      <c r="F20" s="244" t="s">
        <v>259</v>
      </c>
    </row>
    <row r="21" spans="2:6" ht="12.75">
      <c r="B21" s="489"/>
      <c r="C21" s="493"/>
      <c r="D21" s="240" t="s">
        <v>118</v>
      </c>
      <c r="E21" s="243" t="s">
        <v>329</v>
      </c>
      <c r="F21" s="244" t="s">
        <v>259</v>
      </c>
    </row>
    <row r="22" spans="2:6" ht="12.75">
      <c r="B22" s="489"/>
      <c r="C22" s="493"/>
      <c r="D22" s="240" t="s">
        <v>119</v>
      </c>
      <c r="E22" s="243" t="s">
        <v>330</v>
      </c>
      <c r="F22" s="244" t="s">
        <v>259</v>
      </c>
    </row>
    <row r="23" spans="2:6" ht="12.75">
      <c r="B23" s="489"/>
      <c r="C23" s="493"/>
      <c r="D23" s="240" t="s">
        <v>120</v>
      </c>
      <c r="E23" s="243"/>
      <c r="F23" s="244"/>
    </row>
    <row r="24" spans="2:6" ht="12.75">
      <c r="B24" s="489"/>
      <c r="C24" s="493"/>
      <c r="D24" s="240" t="s">
        <v>121</v>
      </c>
      <c r="E24" s="243"/>
      <c r="F24" s="244"/>
    </row>
    <row r="25" spans="2:6" ht="12.75">
      <c r="B25" s="489"/>
      <c r="C25" s="493"/>
      <c r="D25" s="240" t="s">
        <v>122</v>
      </c>
      <c r="E25" s="243"/>
      <c r="F25" s="244"/>
    </row>
    <row r="26" spans="2:6" ht="12.75">
      <c r="B26" s="489"/>
      <c r="C26" s="493"/>
      <c r="D26" s="240" t="s">
        <v>123</v>
      </c>
      <c r="E26" s="243"/>
      <c r="F26" s="244"/>
    </row>
    <row r="27" spans="2:6" ht="12.75">
      <c r="B27" s="489"/>
      <c r="C27" s="493"/>
      <c r="D27" s="240" t="s">
        <v>124</v>
      </c>
      <c r="E27" s="243"/>
      <c r="F27" s="244"/>
    </row>
    <row r="28" spans="2:6" ht="12.75">
      <c r="B28" s="489"/>
      <c r="C28" s="493"/>
      <c r="D28" s="240" t="s">
        <v>125</v>
      </c>
      <c r="E28" s="243" t="s">
        <v>331</v>
      </c>
      <c r="F28" s="244" t="s">
        <v>259</v>
      </c>
    </row>
    <row r="29" spans="2:6" ht="12.75">
      <c r="B29" s="489"/>
      <c r="C29" s="493"/>
      <c r="D29" s="240" t="s">
        <v>126</v>
      </c>
      <c r="E29" s="243" t="s">
        <v>332</v>
      </c>
      <c r="F29" s="244" t="s">
        <v>259</v>
      </c>
    </row>
    <row r="30" spans="2:6" ht="12.75">
      <c r="B30" s="489"/>
      <c r="C30" s="493"/>
      <c r="D30" s="245" t="s">
        <v>333</v>
      </c>
      <c r="E30" s="243" t="s">
        <v>334</v>
      </c>
      <c r="F30" s="244" t="s">
        <v>259</v>
      </c>
    </row>
    <row r="31" spans="2:6" ht="13.5" thickBot="1">
      <c r="B31" s="490"/>
      <c r="C31" s="246" t="s">
        <v>335</v>
      </c>
      <c r="D31" s="246" t="s">
        <v>31</v>
      </c>
      <c r="E31" s="247" t="s">
        <v>336</v>
      </c>
      <c r="F31" s="248"/>
    </row>
    <row r="32" spans="2:6" ht="13.5" thickBot="1">
      <c r="B32" s="491"/>
      <c r="C32" s="246" t="s">
        <v>337</v>
      </c>
      <c r="D32" s="246" t="s">
        <v>338</v>
      </c>
      <c r="E32" s="247" t="s">
        <v>339</v>
      </c>
      <c r="F32" s="248"/>
    </row>
    <row r="33" spans="2:6" ht="20.25" customHeight="1">
      <c r="B33" s="494" t="s">
        <v>340</v>
      </c>
      <c r="C33" s="232" t="s">
        <v>341</v>
      </c>
      <c r="D33" s="233" t="s">
        <v>31</v>
      </c>
      <c r="E33" s="234" t="s">
        <v>342</v>
      </c>
      <c r="F33" s="249"/>
    </row>
    <row r="34" spans="2:6" ht="27" customHeight="1" thickBot="1">
      <c r="B34" s="462"/>
      <c r="C34" s="225" t="s">
        <v>343</v>
      </c>
      <c r="D34" s="226" t="s">
        <v>31</v>
      </c>
      <c r="E34" s="227" t="s">
        <v>344</v>
      </c>
      <c r="F34" s="228"/>
    </row>
    <row r="35" spans="2:6" ht="27" customHeight="1">
      <c r="B35" s="494" t="s">
        <v>345</v>
      </c>
      <c r="C35" s="232" t="s">
        <v>346</v>
      </c>
      <c r="D35" s="233" t="s">
        <v>31</v>
      </c>
      <c r="E35" s="234" t="s">
        <v>347</v>
      </c>
      <c r="F35" s="249"/>
    </row>
    <row r="36" spans="2:6" ht="27" customHeight="1" thickBot="1">
      <c r="B36" s="462"/>
      <c r="C36" s="225" t="s">
        <v>348</v>
      </c>
      <c r="D36" s="225" t="s">
        <v>48</v>
      </c>
      <c r="E36" s="227" t="s">
        <v>349</v>
      </c>
      <c r="F36" s="228"/>
    </row>
    <row r="37" spans="2:6" ht="27" customHeight="1" thickBot="1">
      <c r="B37" s="463" t="s">
        <v>350</v>
      </c>
      <c r="C37" s="464"/>
      <c r="D37" s="237" t="s">
        <v>48</v>
      </c>
      <c r="E37" s="238" t="s">
        <v>351</v>
      </c>
      <c r="F37" s="239" t="s">
        <v>259</v>
      </c>
    </row>
    <row r="38" spans="2:6" ht="23.25" customHeight="1" thickBot="1">
      <c r="B38" s="486" t="s">
        <v>352</v>
      </c>
      <c r="C38" s="487"/>
      <c r="D38" s="237" t="s">
        <v>57</v>
      </c>
      <c r="E38" s="238" t="s">
        <v>351</v>
      </c>
      <c r="F38" s="239" t="s">
        <v>259</v>
      </c>
    </row>
    <row r="39" spans="2:6" ht="27.75" customHeight="1" thickBot="1">
      <c r="B39" s="486" t="s">
        <v>353</v>
      </c>
      <c r="C39" s="487"/>
      <c r="D39" s="237" t="s">
        <v>58</v>
      </c>
      <c r="E39" s="238" t="s">
        <v>354</v>
      </c>
      <c r="F39" s="239" t="s">
        <v>259</v>
      </c>
    </row>
  </sheetData>
  <sheetProtection/>
  <mergeCells count="13">
    <mergeCell ref="B17:C17"/>
    <mergeCell ref="B5:B6"/>
    <mergeCell ref="B7:B8"/>
    <mergeCell ref="B9:B13"/>
    <mergeCell ref="C9:C10"/>
    <mergeCell ref="B14:B15"/>
    <mergeCell ref="B39:C39"/>
    <mergeCell ref="B18:B32"/>
    <mergeCell ref="C18:C30"/>
    <mergeCell ref="B33:B34"/>
    <mergeCell ref="B35:B36"/>
    <mergeCell ref="B37:C37"/>
    <mergeCell ref="B38:C38"/>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H45"/>
  <sheetViews>
    <sheetView zoomScalePageLayoutView="125" workbookViewId="0" topLeftCell="A10">
      <selection activeCell="C4" sqref="C4"/>
    </sheetView>
  </sheetViews>
  <sheetFormatPr defaultColWidth="8.8515625" defaultRowHeight="12.75"/>
  <cols>
    <col min="1" max="1" width="8.8515625" style="340" customWidth="1"/>
    <col min="2" max="2" width="24.421875" style="44" customWidth="1"/>
    <col min="3" max="3" width="51.421875" style="44" customWidth="1"/>
    <col min="4" max="4" width="29.421875" style="44" customWidth="1"/>
    <col min="5" max="5" width="15.421875" style="44" customWidth="1"/>
    <col min="6" max="6" width="31.00390625" style="44" customWidth="1"/>
    <col min="7" max="7" width="2.8515625" style="340" customWidth="1"/>
    <col min="8" max="8" width="13.421875" style="340" customWidth="1"/>
    <col min="9" max="9" width="13.8515625" style="44" customWidth="1"/>
    <col min="10" max="16384" width="8.8515625" style="44" customWidth="1"/>
  </cols>
  <sheetData>
    <row r="1" s="335" customFormat="1" ht="10.5">
      <c r="E1" s="336"/>
    </row>
    <row r="2" spans="2:5" s="337" customFormat="1" ht="18">
      <c r="B2" s="334" t="s">
        <v>302</v>
      </c>
      <c r="E2" s="338"/>
    </row>
    <row r="3" s="335" customFormat="1" ht="11.25" thickBot="1">
      <c r="E3" s="336"/>
    </row>
    <row r="4" spans="1:8" s="214" customFormat="1" ht="39" thickBot="1">
      <c r="A4" s="339"/>
      <c r="B4" s="316" t="s">
        <v>13</v>
      </c>
      <c r="C4" s="317" t="s">
        <v>14</v>
      </c>
      <c r="D4" s="317" t="s">
        <v>46</v>
      </c>
      <c r="E4" s="317" t="s">
        <v>252</v>
      </c>
      <c r="F4" s="318" t="s">
        <v>303</v>
      </c>
      <c r="G4" s="339"/>
      <c r="H4" s="339"/>
    </row>
    <row r="5" spans="2:6" ht="12.75" customHeight="1">
      <c r="B5" s="471" t="s">
        <v>437</v>
      </c>
      <c r="C5" s="412" t="s">
        <v>165</v>
      </c>
      <c r="D5" s="322" t="s">
        <v>436</v>
      </c>
      <c r="E5" s="322" t="s">
        <v>305</v>
      </c>
      <c r="F5" s="405">
        <v>27628</v>
      </c>
    </row>
    <row r="6" spans="2:6" ht="12.75">
      <c r="B6" s="456"/>
      <c r="C6" s="413" t="s">
        <v>112</v>
      </c>
      <c r="D6" s="319" t="s">
        <v>436</v>
      </c>
      <c r="E6" s="319" t="s">
        <v>306</v>
      </c>
      <c r="F6" s="407">
        <v>19155</v>
      </c>
    </row>
    <row r="7" spans="2:6" ht="12.75">
      <c r="B7" s="456"/>
      <c r="C7" s="413" t="s">
        <v>111</v>
      </c>
      <c r="D7" s="319" t="s">
        <v>113</v>
      </c>
      <c r="E7" s="319" t="s">
        <v>474</v>
      </c>
      <c r="F7" s="407">
        <v>3980</v>
      </c>
    </row>
    <row r="8" spans="2:6" ht="12.75">
      <c r="B8" s="456"/>
      <c r="C8" s="413" t="s">
        <v>106</v>
      </c>
      <c r="D8" s="319" t="s">
        <v>113</v>
      </c>
      <c r="E8" s="319" t="s">
        <v>475</v>
      </c>
      <c r="F8" s="407">
        <v>1434</v>
      </c>
    </row>
    <row r="9" spans="2:6" ht="12.75">
      <c r="B9" s="456"/>
      <c r="C9" s="413" t="s">
        <v>107</v>
      </c>
      <c r="D9" s="319" t="s">
        <v>113</v>
      </c>
      <c r="E9" s="319" t="s">
        <v>476</v>
      </c>
      <c r="F9" s="407">
        <v>955</v>
      </c>
    </row>
    <row r="10" spans="2:6" ht="13.5" thickBot="1">
      <c r="B10" s="472"/>
      <c r="C10" s="320" t="s">
        <v>108</v>
      </c>
      <c r="D10" s="321" t="s">
        <v>113</v>
      </c>
      <c r="E10" s="321" t="s">
        <v>477</v>
      </c>
      <c r="F10" s="406">
        <v>3104</v>
      </c>
    </row>
    <row r="11" spans="2:7" ht="23.25" customHeight="1">
      <c r="B11" s="473" t="s">
        <v>438</v>
      </c>
      <c r="C11" s="412" t="s">
        <v>547</v>
      </c>
      <c r="D11" s="322" t="s">
        <v>49</v>
      </c>
      <c r="E11" s="322" t="s">
        <v>308</v>
      </c>
      <c r="F11" s="405">
        <v>427101</v>
      </c>
      <c r="G11" s="349" t="s">
        <v>565</v>
      </c>
    </row>
    <row r="12" spans="2:7" ht="34.5" customHeight="1">
      <c r="B12" s="452"/>
      <c r="C12" s="413" t="s">
        <v>595</v>
      </c>
      <c r="D12" s="319" t="s">
        <v>29</v>
      </c>
      <c r="E12" s="319" t="s">
        <v>309</v>
      </c>
      <c r="F12" s="407">
        <v>17817679</v>
      </c>
      <c r="G12" s="349" t="s">
        <v>565</v>
      </c>
    </row>
    <row r="13" spans="2:6" ht="27" customHeight="1" thickBot="1">
      <c r="B13" s="453"/>
      <c r="C13" s="320" t="s">
        <v>548</v>
      </c>
      <c r="D13" s="321" t="s">
        <v>113</v>
      </c>
      <c r="E13" s="321" t="s">
        <v>534</v>
      </c>
      <c r="F13" s="406">
        <v>2836</v>
      </c>
    </row>
    <row r="14" spans="2:6" ht="12.75">
      <c r="B14" s="471" t="s">
        <v>439</v>
      </c>
      <c r="C14" s="454" t="s">
        <v>98</v>
      </c>
      <c r="D14" s="322" t="s">
        <v>88</v>
      </c>
      <c r="E14" s="322" t="s">
        <v>478</v>
      </c>
      <c r="F14" s="405">
        <v>315</v>
      </c>
    </row>
    <row r="15" spans="2:6" ht="12.75">
      <c r="B15" s="456"/>
      <c r="C15" s="455"/>
      <c r="D15" s="319" t="s">
        <v>89</v>
      </c>
      <c r="E15" s="319" t="s">
        <v>313</v>
      </c>
      <c r="F15" s="407">
        <v>1012</v>
      </c>
    </row>
    <row r="16" spans="2:6" ht="12.75">
      <c r="B16" s="456"/>
      <c r="C16" s="413" t="s">
        <v>90</v>
      </c>
      <c r="D16" s="319" t="s">
        <v>91</v>
      </c>
      <c r="E16" s="319" t="s">
        <v>314</v>
      </c>
      <c r="F16" s="407">
        <v>60</v>
      </c>
    </row>
    <row r="17" spans="2:6" ht="12.75">
      <c r="B17" s="456"/>
      <c r="C17" s="413" t="s">
        <v>92</v>
      </c>
      <c r="D17" s="319" t="s">
        <v>93</v>
      </c>
      <c r="E17" s="319" t="s">
        <v>316</v>
      </c>
      <c r="F17" s="407">
        <v>630</v>
      </c>
    </row>
    <row r="18" spans="2:6" ht="13.5" thickBot="1">
      <c r="B18" s="472"/>
      <c r="C18" s="320" t="s">
        <v>94</v>
      </c>
      <c r="D18" s="321" t="s">
        <v>95</v>
      </c>
      <c r="E18" s="321" t="s">
        <v>479</v>
      </c>
      <c r="F18" s="406">
        <v>450</v>
      </c>
    </row>
    <row r="19" spans="1:6" ht="12.75" customHeight="1">
      <c r="A19" s="57"/>
      <c r="B19" s="473" t="s">
        <v>440</v>
      </c>
      <c r="C19" s="412" t="s">
        <v>110</v>
      </c>
      <c r="D19" s="323"/>
      <c r="E19" s="323" t="s">
        <v>318</v>
      </c>
      <c r="F19" s="408"/>
    </row>
    <row r="20" spans="2:6" ht="12.75" customHeight="1">
      <c r="B20" s="452"/>
      <c r="C20" s="413" t="s">
        <v>26</v>
      </c>
      <c r="D20" s="319" t="s">
        <v>113</v>
      </c>
      <c r="E20" s="319" t="s">
        <v>319</v>
      </c>
      <c r="F20" s="407">
        <v>3500</v>
      </c>
    </row>
    <row r="21" spans="2:6" ht="12.75">
      <c r="B21" s="452"/>
      <c r="C21" s="413" t="s">
        <v>109</v>
      </c>
      <c r="D21" s="415"/>
      <c r="E21" s="415" t="s">
        <v>321</v>
      </c>
      <c r="F21" s="418"/>
    </row>
    <row r="22" spans="2:6" ht="13.5" thickBot="1">
      <c r="B22" s="453"/>
      <c r="C22" s="320" t="s">
        <v>103</v>
      </c>
      <c r="D22" s="321" t="s">
        <v>113</v>
      </c>
      <c r="E22" s="321" t="s">
        <v>480</v>
      </c>
      <c r="F22" s="406">
        <v>600</v>
      </c>
    </row>
    <row r="23" spans="2:6" ht="26.25" customHeight="1" thickBot="1">
      <c r="B23" s="324" t="s">
        <v>441</v>
      </c>
      <c r="C23" s="325" t="s">
        <v>431</v>
      </c>
      <c r="D23" s="326" t="s">
        <v>52</v>
      </c>
      <c r="E23" s="326" t="s">
        <v>481</v>
      </c>
      <c r="F23" s="409">
        <v>6240570</v>
      </c>
    </row>
    <row r="24" spans="2:6" ht="20.25" customHeight="1" thickBot="1">
      <c r="B24" s="414" t="s">
        <v>442</v>
      </c>
      <c r="C24" s="420" t="s">
        <v>427</v>
      </c>
      <c r="D24" s="421" t="s">
        <v>53</v>
      </c>
      <c r="E24" s="421" t="s">
        <v>323</v>
      </c>
      <c r="F24" s="419">
        <v>200000</v>
      </c>
    </row>
    <row r="25" spans="2:7" ht="12.75">
      <c r="B25" s="471" t="s">
        <v>443</v>
      </c>
      <c r="C25" s="412" t="s">
        <v>169</v>
      </c>
      <c r="D25" s="322" t="s">
        <v>57</v>
      </c>
      <c r="E25" s="322" t="s">
        <v>482</v>
      </c>
      <c r="F25" s="405">
        <v>18787</v>
      </c>
      <c r="G25" s="349" t="s">
        <v>565</v>
      </c>
    </row>
    <row r="26" spans="2:7" ht="12.75">
      <c r="B26" s="456"/>
      <c r="C26" s="413" t="s">
        <v>170</v>
      </c>
      <c r="D26" s="319" t="s">
        <v>57</v>
      </c>
      <c r="E26" s="319" t="s">
        <v>336</v>
      </c>
      <c r="F26" s="407">
        <v>2763</v>
      </c>
      <c r="G26" s="349" t="s">
        <v>565</v>
      </c>
    </row>
    <row r="27" spans="2:7" ht="12.75">
      <c r="B27" s="458"/>
      <c r="C27" s="413" t="s">
        <v>171</v>
      </c>
      <c r="D27" s="319" t="s">
        <v>57</v>
      </c>
      <c r="E27" s="319" t="s">
        <v>339</v>
      </c>
      <c r="F27" s="407">
        <v>553</v>
      </c>
      <c r="G27" s="349" t="s">
        <v>565</v>
      </c>
    </row>
    <row r="28" spans="2:7" ht="13.5" thickBot="1">
      <c r="B28" s="459"/>
      <c r="C28" s="320" t="s">
        <v>172</v>
      </c>
      <c r="D28" s="321" t="s">
        <v>57</v>
      </c>
      <c r="E28" s="321" t="s">
        <v>483</v>
      </c>
      <c r="F28" s="406">
        <v>553</v>
      </c>
      <c r="G28" s="349" t="s">
        <v>565</v>
      </c>
    </row>
    <row r="29" spans="2:7" ht="12.75" customHeight="1">
      <c r="B29" s="471" t="s">
        <v>444</v>
      </c>
      <c r="C29" s="412" t="s">
        <v>61</v>
      </c>
      <c r="D29" s="322" t="s">
        <v>58</v>
      </c>
      <c r="E29" s="322" t="s">
        <v>342</v>
      </c>
      <c r="F29" s="405">
        <v>22103</v>
      </c>
      <c r="G29" s="349" t="s">
        <v>565</v>
      </c>
    </row>
    <row r="30" spans="2:6" ht="12.75" customHeight="1">
      <c r="B30" s="457"/>
      <c r="C30" s="413" t="s">
        <v>175</v>
      </c>
      <c r="D30" s="319" t="s">
        <v>113</v>
      </c>
      <c r="E30" s="319" t="s">
        <v>344</v>
      </c>
      <c r="F30" s="407">
        <v>160</v>
      </c>
    </row>
    <row r="31" spans="2:6" ht="13.5" thickBot="1">
      <c r="B31" s="472"/>
      <c r="C31" s="320" t="s">
        <v>532</v>
      </c>
      <c r="D31" s="321" t="s">
        <v>113</v>
      </c>
      <c r="E31" s="321" t="s">
        <v>535</v>
      </c>
      <c r="F31" s="406">
        <v>3000</v>
      </c>
    </row>
    <row r="32" spans="2:6" ht="12.75" customHeight="1">
      <c r="B32" s="473" t="s">
        <v>447</v>
      </c>
      <c r="C32" s="412" t="s">
        <v>45</v>
      </c>
      <c r="D32" s="323"/>
      <c r="E32" s="323" t="s">
        <v>347</v>
      </c>
      <c r="F32" s="416"/>
    </row>
    <row r="33" spans="2:7" ht="12.75">
      <c r="B33" s="452"/>
      <c r="C33" s="410" t="s">
        <v>566</v>
      </c>
      <c r="D33" s="415"/>
      <c r="E33" s="415" t="s">
        <v>349</v>
      </c>
      <c r="F33" s="417"/>
      <c r="G33" s="349"/>
    </row>
    <row r="34" spans="2:7" ht="12.75">
      <c r="B34" s="452"/>
      <c r="C34" s="410" t="s">
        <v>581</v>
      </c>
      <c r="D34" s="415"/>
      <c r="E34" s="415" t="s">
        <v>484</v>
      </c>
      <c r="F34" s="417"/>
      <c r="G34" s="349"/>
    </row>
    <row r="35" spans="2:7" ht="18" customHeight="1">
      <c r="B35" s="452"/>
      <c r="C35" s="410" t="s">
        <v>569</v>
      </c>
      <c r="D35" s="319" t="s">
        <v>56</v>
      </c>
      <c r="E35" s="319" t="s">
        <v>570</v>
      </c>
      <c r="F35" s="407">
        <v>20</v>
      </c>
      <c r="G35" s="349" t="s">
        <v>565</v>
      </c>
    </row>
    <row r="36" spans="2:6" ht="19.5" customHeight="1" thickBot="1">
      <c r="B36" s="453"/>
      <c r="C36" s="411" t="s">
        <v>576</v>
      </c>
      <c r="D36" s="321" t="s">
        <v>113</v>
      </c>
      <c r="E36" s="321" t="s">
        <v>571</v>
      </c>
      <c r="F36" s="406">
        <v>3021</v>
      </c>
    </row>
    <row r="37" spans="2:6" ht="19.5" customHeight="1">
      <c r="B37" s="471" t="s">
        <v>445</v>
      </c>
      <c r="C37" s="412" t="s">
        <v>33</v>
      </c>
      <c r="D37" s="322" t="s">
        <v>113</v>
      </c>
      <c r="E37" s="322" t="s">
        <v>485</v>
      </c>
      <c r="F37" s="405">
        <v>2750</v>
      </c>
    </row>
    <row r="38" spans="2:6" ht="19.5" customHeight="1" thickBot="1">
      <c r="B38" s="472"/>
      <c r="C38" s="320" t="s">
        <v>104</v>
      </c>
      <c r="D38" s="321" t="s">
        <v>113</v>
      </c>
      <c r="E38" s="321" t="s">
        <v>486</v>
      </c>
      <c r="F38" s="406">
        <v>305</v>
      </c>
    </row>
    <row r="39" spans="2:6" ht="19.5" customHeight="1" thickBot="1">
      <c r="B39" s="324" t="s">
        <v>446</v>
      </c>
      <c r="C39" s="325" t="s">
        <v>430</v>
      </c>
      <c r="D39" s="326" t="s">
        <v>113</v>
      </c>
      <c r="E39" s="326" t="s">
        <v>354</v>
      </c>
      <c r="F39" s="409">
        <v>355</v>
      </c>
    </row>
    <row r="40" spans="2:6" ht="12.75">
      <c r="B40" s="349" t="s">
        <v>591</v>
      </c>
      <c r="C40" s="340"/>
      <c r="D40" s="340"/>
      <c r="E40" s="340"/>
      <c r="F40" s="340"/>
    </row>
    <row r="41" spans="2:6" ht="12.75">
      <c r="B41" s="340"/>
      <c r="C41" s="340"/>
      <c r="D41" s="340"/>
      <c r="E41" s="340"/>
      <c r="F41" s="340"/>
    </row>
    <row r="42" spans="2:6" ht="12.75">
      <c r="B42" s="340"/>
      <c r="C42" s="340"/>
      <c r="D42" s="340"/>
      <c r="E42" s="340"/>
      <c r="F42" s="340"/>
    </row>
    <row r="43" spans="2:6" ht="12.75">
      <c r="B43" s="340"/>
      <c r="C43" s="340"/>
      <c r="D43" s="340"/>
      <c r="E43" s="340"/>
      <c r="F43" s="340"/>
    </row>
    <row r="44" spans="2:6" ht="12.75">
      <c r="B44" s="340"/>
      <c r="C44" s="340"/>
      <c r="D44" s="340"/>
      <c r="E44" s="340"/>
      <c r="F44" s="340"/>
    </row>
    <row r="45" spans="2:6" ht="12.75">
      <c r="B45" s="340"/>
      <c r="C45" s="340"/>
      <c r="D45" s="340"/>
      <c r="E45" s="340"/>
      <c r="F45" s="340"/>
    </row>
  </sheetData>
  <sheetProtection password="A28C" sheet="1" objects="1" scenarios="1"/>
  <mergeCells count="9">
    <mergeCell ref="B37:B38"/>
    <mergeCell ref="B32:B36"/>
    <mergeCell ref="C14:C15"/>
    <mergeCell ref="B5:B10"/>
    <mergeCell ref="B14:B18"/>
    <mergeCell ref="B29:B31"/>
    <mergeCell ref="B11:B13"/>
    <mergeCell ref="B19:B22"/>
    <mergeCell ref="B25:B28"/>
  </mergeCells>
  <printOptions/>
  <pageMargins left="0.7000000000000001" right="0.7000000000000001" top="0.7500000000000001" bottom="0.7500000000000001" header="0.30000000000000004" footer="0.30000000000000004"/>
  <pageSetup fitToHeight="1" fitToWidth="1"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B2:H44"/>
  <sheetViews>
    <sheetView zoomScale="90" zoomScaleNormal="90" zoomScalePageLayoutView="90" workbookViewId="0" topLeftCell="A7">
      <selection activeCell="D26" sqref="D26"/>
    </sheetView>
  </sheetViews>
  <sheetFormatPr defaultColWidth="8.8515625" defaultRowHeight="12.75"/>
  <cols>
    <col min="1" max="1" width="8.8515625" style="44" customWidth="1"/>
    <col min="2" max="2" width="23.140625" style="44" bestFit="1" customWidth="1"/>
    <col min="3" max="3" width="48.421875" style="44" customWidth="1"/>
    <col min="4" max="4" width="39.8515625" style="44" customWidth="1"/>
    <col min="5" max="5" width="17.28125" style="44" customWidth="1"/>
    <col min="6" max="6" width="14.28125" style="44" customWidth="1"/>
    <col min="7" max="7" width="14.421875" style="44" customWidth="1"/>
    <col min="8" max="16384" width="8.8515625" style="44" customWidth="1"/>
  </cols>
  <sheetData>
    <row r="1" s="250" customFormat="1" ht="10.5"/>
    <row r="2" s="252" customFormat="1" ht="18">
      <c r="B2" s="251" t="s">
        <v>355</v>
      </c>
    </row>
    <row r="3" s="250" customFormat="1" ht="11.25" thickBot="1"/>
    <row r="4" spans="2:8" ht="64.5" thickBot="1">
      <c r="B4" s="253" t="s">
        <v>13</v>
      </c>
      <c r="C4" s="254" t="s">
        <v>14</v>
      </c>
      <c r="D4" s="254" t="s">
        <v>15</v>
      </c>
      <c r="E4" s="254" t="s">
        <v>356</v>
      </c>
      <c r="F4" s="255" t="s">
        <v>252</v>
      </c>
      <c r="H4" s="256" t="s">
        <v>357</v>
      </c>
    </row>
    <row r="5" spans="2:6" ht="25.5" customHeight="1">
      <c r="B5" s="460" t="s">
        <v>358</v>
      </c>
      <c r="C5" s="257" t="s">
        <v>359</v>
      </c>
      <c r="D5" s="257" t="s">
        <v>16</v>
      </c>
      <c r="E5" s="258">
        <v>0</v>
      </c>
      <c r="F5" s="259" t="s">
        <v>360</v>
      </c>
    </row>
    <row r="6" spans="2:6" ht="32.25" customHeight="1" thickBot="1">
      <c r="B6" s="461"/>
      <c r="C6" s="260" t="s">
        <v>361</v>
      </c>
      <c r="D6" s="260" t="s">
        <v>18</v>
      </c>
      <c r="E6" s="261">
        <v>366.03000000000003</v>
      </c>
      <c r="F6" s="262" t="s">
        <v>362</v>
      </c>
    </row>
    <row r="7" spans="2:6" ht="21" customHeight="1">
      <c r="B7" s="451" t="s">
        <v>363</v>
      </c>
      <c r="C7" s="263" t="s">
        <v>364</v>
      </c>
      <c r="D7" s="263" t="s">
        <v>21</v>
      </c>
      <c r="E7" s="264">
        <v>0</v>
      </c>
      <c r="F7" s="265" t="s">
        <v>365</v>
      </c>
    </row>
    <row r="8" spans="2:6" ht="34.5" thickBot="1">
      <c r="B8" s="441"/>
      <c r="C8" s="266" t="s">
        <v>366</v>
      </c>
      <c r="D8" s="266" t="s">
        <v>367</v>
      </c>
      <c r="E8" s="267"/>
      <c r="F8" s="268" t="s">
        <v>368</v>
      </c>
    </row>
    <row r="9" spans="2:6" ht="18.75" customHeight="1">
      <c r="B9" s="460" t="s">
        <v>369</v>
      </c>
      <c r="C9" s="257" t="e">
        <f>#REF!</f>
        <v>#REF!</v>
      </c>
      <c r="D9" s="257" t="s">
        <v>96</v>
      </c>
      <c r="E9" s="258">
        <v>0</v>
      </c>
      <c r="F9" s="259" t="s">
        <v>370</v>
      </c>
    </row>
    <row r="10" spans="2:6" ht="23.25" customHeight="1">
      <c r="B10" s="442"/>
      <c r="C10" s="269" t="e">
        <f>#REF!</f>
        <v>#REF!</v>
      </c>
      <c r="D10" s="269" t="s">
        <v>97</v>
      </c>
      <c r="E10" s="270">
        <v>0</v>
      </c>
      <c r="F10" s="271" t="s">
        <v>371</v>
      </c>
    </row>
    <row r="11" spans="2:6" ht="12.75">
      <c r="B11" s="442"/>
      <c r="C11" s="269" t="e">
        <f>#REF!</f>
        <v>#REF!</v>
      </c>
      <c r="D11" s="269" t="s">
        <v>23</v>
      </c>
      <c r="E11" s="270">
        <v>0</v>
      </c>
      <c r="F11" s="271" t="s">
        <v>372</v>
      </c>
    </row>
    <row r="12" spans="2:6" ht="12.75">
      <c r="B12" s="442"/>
      <c r="C12" s="269" t="e">
        <f>#REF!</f>
        <v>#REF!</v>
      </c>
      <c r="D12" s="269" t="s">
        <v>24</v>
      </c>
      <c r="E12" s="270">
        <v>0</v>
      </c>
      <c r="F12" s="271" t="s">
        <v>373</v>
      </c>
    </row>
    <row r="13" spans="2:6" ht="13.5" thickBot="1">
      <c r="B13" s="441"/>
      <c r="C13" s="266" t="e">
        <f>#REF!</f>
        <v>#REF!</v>
      </c>
      <c r="D13" s="266" t="s">
        <v>29</v>
      </c>
      <c r="E13" s="272">
        <v>0</v>
      </c>
      <c r="F13" s="273" t="s">
        <v>374</v>
      </c>
    </row>
    <row r="14" spans="2:6" ht="12.75">
      <c r="B14" s="460" t="s">
        <v>375</v>
      </c>
      <c r="C14" s="257" t="s">
        <v>25</v>
      </c>
      <c r="D14" s="257" t="s">
        <v>376</v>
      </c>
      <c r="E14" s="258">
        <v>0</v>
      </c>
      <c r="F14" s="259" t="s">
        <v>377</v>
      </c>
    </row>
    <row r="15" spans="2:6" ht="13.5" thickBot="1">
      <c r="B15" s="461"/>
      <c r="C15" s="260" t="s">
        <v>26</v>
      </c>
      <c r="D15" s="260" t="s">
        <v>18</v>
      </c>
      <c r="E15" s="261">
        <v>469.78</v>
      </c>
      <c r="F15" s="262" t="s">
        <v>378</v>
      </c>
    </row>
    <row r="16" spans="2:6" ht="23.25" thickBot="1">
      <c r="B16" s="274" t="s">
        <v>379</v>
      </c>
      <c r="C16" s="275" t="s">
        <v>27</v>
      </c>
      <c r="D16" s="275" t="s">
        <v>380</v>
      </c>
      <c r="E16" s="276"/>
      <c r="F16" s="277" t="s">
        <v>381</v>
      </c>
    </row>
    <row r="17" spans="2:6" ht="13.5" thickBot="1">
      <c r="B17" s="443" t="s">
        <v>382</v>
      </c>
      <c r="C17" s="315"/>
      <c r="D17" s="278" t="s">
        <v>54</v>
      </c>
      <c r="E17" s="279">
        <v>0</v>
      </c>
      <c r="F17" s="280" t="s">
        <v>383</v>
      </c>
    </row>
    <row r="18" spans="2:6" ht="18.75" customHeight="1" thickBot="1">
      <c r="B18" s="448" t="s">
        <v>384</v>
      </c>
      <c r="C18" s="448" t="s">
        <v>385</v>
      </c>
      <c r="D18" s="278" t="s">
        <v>115</v>
      </c>
      <c r="E18" s="258">
        <v>0</v>
      </c>
      <c r="F18" s="259" t="s">
        <v>386</v>
      </c>
    </row>
    <row r="19" spans="2:6" ht="13.5" thickBot="1">
      <c r="B19" s="449"/>
      <c r="C19" s="449"/>
      <c r="D19" s="278" t="s">
        <v>116</v>
      </c>
      <c r="E19" s="258">
        <v>0</v>
      </c>
      <c r="F19" s="259" t="s">
        <v>387</v>
      </c>
    </row>
    <row r="20" spans="2:6" ht="13.5" thickBot="1">
      <c r="B20" s="449"/>
      <c r="C20" s="449"/>
      <c r="D20" s="278" t="s">
        <v>117</v>
      </c>
      <c r="E20" s="258">
        <v>0</v>
      </c>
      <c r="F20" s="259" t="s">
        <v>388</v>
      </c>
    </row>
    <row r="21" spans="2:6" ht="13.5" thickBot="1">
      <c r="B21" s="449"/>
      <c r="C21" s="449"/>
      <c r="D21" s="278" t="s">
        <v>118</v>
      </c>
      <c r="E21" s="258">
        <v>0</v>
      </c>
      <c r="F21" s="259" t="s">
        <v>389</v>
      </c>
    </row>
    <row r="22" spans="2:6" ht="13.5" thickBot="1">
      <c r="B22" s="449"/>
      <c r="C22" s="449"/>
      <c r="D22" s="278" t="s">
        <v>119</v>
      </c>
      <c r="E22" s="258">
        <v>0</v>
      </c>
      <c r="F22" s="259" t="s">
        <v>390</v>
      </c>
    </row>
    <row r="23" spans="2:6" ht="12.75" customHeight="1" thickBot="1">
      <c r="B23" s="449"/>
      <c r="C23" s="449"/>
      <c r="D23" s="278" t="s">
        <v>120</v>
      </c>
      <c r="E23" s="258">
        <v>0</v>
      </c>
      <c r="F23" s="259" t="s">
        <v>391</v>
      </c>
    </row>
    <row r="24" spans="2:6" ht="13.5" thickBot="1">
      <c r="B24" s="449"/>
      <c r="C24" s="449"/>
      <c r="D24" s="278" t="s">
        <v>121</v>
      </c>
      <c r="E24" s="270">
        <v>0</v>
      </c>
      <c r="F24" s="259" t="s">
        <v>392</v>
      </c>
    </row>
    <row r="25" spans="2:6" ht="13.5" thickBot="1">
      <c r="B25" s="449"/>
      <c r="C25" s="449"/>
      <c r="D25" s="278" t="s">
        <v>122</v>
      </c>
      <c r="E25" s="270">
        <v>0</v>
      </c>
      <c r="F25" s="259" t="s">
        <v>393</v>
      </c>
    </row>
    <row r="26" spans="2:6" ht="13.5" thickBot="1">
      <c r="B26" s="449"/>
      <c r="C26" s="449"/>
      <c r="D26" s="278" t="s">
        <v>123</v>
      </c>
      <c r="E26" s="270">
        <v>0</v>
      </c>
      <c r="F26" s="259" t="s">
        <v>394</v>
      </c>
    </row>
    <row r="27" spans="2:6" ht="13.5" thickBot="1">
      <c r="B27" s="449"/>
      <c r="C27" s="449"/>
      <c r="D27" s="278" t="s">
        <v>124</v>
      </c>
      <c r="E27" s="270">
        <v>0</v>
      </c>
      <c r="F27" s="259" t="s">
        <v>395</v>
      </c>
    </row>
    <row r="28" spans="2:6" ht="13.5" thickBot="1">
      <c r="B28" s="449"/>
      <c r="C28" s="449"/>
      <c r="D28" s="278" t="s">
        <v>125</v>
      </c>
      <c r="E28" s="270">
        <v>0</v>
      </c>
      <c r="F28" s="259" t="s">
        <v>396</v>
      </c>
    </row>
    <row r="29" spans="2:6" ht="13.5" thickBot="1">
      <c r="B29" s="449"/>
      <c r="C29" s="449"/>
      <c r="D29" s="278" t="s">
        <v>126</v>
      </c>
      <c r="E29" s="270">
        <v>0</v>
      </c>
      <c r="F29" s="259" t="s">
        <v>397</v>
      </c>
    </row>
    <row r="30" spans="2:6" ht="13.5" thickBot="1">
      <c r="B30" s="449"/>
      <c r="C30" s="450"/>
      <c r="D30" s="278" t="s">
        <v>398</v>
      </c>
      <c r="E30" s="270">
        <v>0</v>
      </c>
      <c r="F30" s="259" t="s">
        <v>399</v>
      </c>
    </row>
    <row r="31" spans="2:6" ht="13.5" thickBot="1">
      <c r="B31" s="449"/>
      <c r="C31" s="278" t="s">
        <v>400</v>
      </c>
      <c r="D31" s="278" t="s">
        <v>376</v>
      </c>
      <c r="E31" s="281">
        <v>0</v>
      </c>
      <c r="F31" s="262" t="s">
        <v>401</v>
      </c>
    </row>
    <row r="32" spans="2:6" ht="13.5" thickBot="1">
      <c r="B32" s="449"/>
      <c r="C32" s="266" t="s">
        <v>402</v>
      </c>
      <c r="D32" s="278" t="s">
        <v>338</v>
      </c>
      <c r="E32" s="281">
        <v>0</v>
      </c>
      <c r="F32" s="273" t="s">
        <v>403</v>
      </c>
    </row>
    <row r="33" spans="2:6" ht="12.75">
      <c r="B33" s="460" t="s">
        <v>404</v>
      </c>
      <c r="C33" s="257" t="s">
        <v>405</v>
      </c>
      <c r="D33" s="257" t="s">
        <v>376</v>
      </c>
      <c r="E33" s="258">
        <v>0</v>
      </c>
      <c r="F33" s="259" t="s">
        <v>406</v>
      </c>
    </row>
    <row r="34" spans="2:6" ht="23.25" thickBot="1">
      <c r="B34" s="459"/>
      <c r="C34" s="260" t="s">
        <v>407</v>
      </c>
      <c r="D34" s="260" t="s">
        <v>376</v>
      </c>
      <c r="E34" s="281">
        <v>0</v>
      </c>
      <c r="F34" s="262" t="s">
        <v>408</v>
      </c>
    </row>
    <row r="35" spans="2:6" ht="12.75">
      <c r="B35" s="460" t="s">
        <v>409</v>
      </c>
      <c r="C35" s="257" t="s">
        <v>410</v>
      </c>
      <c r="D35" s="257" t="s">
        <v>411</v>
      </c>
      <c r="E35" s="258">
        <v>0</v>
      </c>
      <c r="F35" s="259" t="s">
        <v>412</v>
      </c>
    </row>
    <row r="36" spans="2:6" ht="13.5" thickBot="1">
      <c r="B36" s="461"/>
      <c r="C36" s="260" t="s">
        <v>413</v>
      </c>
      <c r="D36" s="260" t="s">
        <v>18</v>
      </c>
      <c r="E36" s="281">
        <v>0</v>
      </c>
      <c r="F36" s="262" t="s">
        <v>414</v>
      </c>
    </row>
    <row r="37" spans="2:6" ht="13.5" thickBot="1">
      <c r="B37" s="446" t="s">
        <v>415</v>
      </c>
      <c r="C37" s="487"/>
      <c r="D37" s="282" t="s">
        <v>18</v>
      </c>
      <c r="E37" s="283">
        <v>0</v>
      </c>
      <c r="F37" s="284" t="s">
        <v>416</v>
      </c>
    </row>
    <row r="38" spans="2:6" ht="13.5" thickBot="1">
      <c r="B38" s="446" t="s">
        <v>417</v>
      </c>
      <c r="C38" s="447"/>
      <c r="D38" s="282" t="s">
        <v>62</v>
      </c>
      <c r="E38" s="283">
        <v>0</v>
      </c>
      <c r="F38" s="284" t="s">
        <v>418</v>
      </c>
    </row>
    <row r="39" spans="2:6" ht="13.5" thickBot="1">
      <c r="B39" s="446" t="s">
        <v>419</v>
      </c>
      <c r="C39" s="447"/>
      <c r="D39" s="282" t="s">
        <v>77</v>
      </c>
      <c r="E39" s="283">
        <v>0</v>
      </c>
      <c r="F39" s="284" t="s">
        <v>420</v>
      </c>
    </row>
    <row r="40" ht="13.5" thickBot="1"/>
    <row r="41" spans="2:5" ht="26.25" thickBot="1">
      <c r="B41" s="285" t="s">
        <v>421</v>
      </c>
      <c r="C41" s="286"/>
      <c r="D41" s="10"/>
      <c r="E41" s="9"/>
    </row>
    <row r="42" spans="2:6" ht="13.5" thickBot="1">
      <c r="B42" s="253" t="s">
        <v>13</v>
      </c>
      <c r="C42" s="254" t="s">
        <v>14</v>
      </c>
      <c r="D42" s="254" t="s">
        <v>15</v>
      </c>
      <c r="E42" s="255" t="s">
        <v>59</v>
      </c>
      <c r="F42" s="255" t="s">
        <v>252</v>
      </c>
    </row>
    <row r="43" spans="2:6" ht="45">
      <c r="B43" s="287" t="s">
        <v>86</v>
      </c>
      <c r="C43" s="257" t="s">
        <v>19</v>
      </c>
      <c r="D43" s="257" t="s">
        <v>422</v>
      </c>
      <c r="E43" s="288">
        <v>0</v>
      </c>
      <c r="F43" s="259" t="s">
        <v>368</v>
      </c>
    </row>
    <row r="44" spans="2:6" ht="23.25" thickBot="1">
      <c r="B44" s="289" t="s">
        <v>83</v>
      </c>
      <c r="C44" s="260" t="s">
        <v>27</v>
      </c>
      <c r="D44" s="260" t="s">
        <v>380</v>
      </c>
      <c r="E44" s="290">
        <v>0</v>
      </c>
      <c r="F44" s="262" t="s">
        <v>381</v>
      </c>
    </row>
  </sheetData>
  <sheetProtection/>
  <mergeCells count="12">
    <mergeCell ref="B39:C39"/>
    <mergeCell ref="B18:B32"/>
    <mergeCell ref="C18:C30"/>
    <mergeCell ref="B5:B6"/>
    <mergeCell ref="B7:B8"/>
    <mergeCell ref="B9:B13"/>
    <mergeCell ref="B14:B15"/>
    <mergeCell ref="B17:C17"/>
    <mergeCell ref="B33:B34"/>
    <mergeCell ref="B35:B36"/>
    <mergeCell ref="B37:C37"/>
    <mergeCell ref="B38:C38"/>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sheetPr>
    <tabColor rgb="FFFFFF00"/>
    <pageSetUpPr fitToPage="1"/>
  </sheetPr>
  <dimension ref="B2:H43"/>
  <sheetViews>
    <sheetView zoomScalePageLayoutView="0" workbookViewId="0" topLeftCell="A22">
      <selection activeCell="E38" sqref="E38"/>
    </sheetView>
  </sheetViews>
  <sheetFormatPr defaultColWidth="8.8515625" defaultRowHeight="12.75"/>
  <cols>
    <col min="1" max="1" width="8.8515625" style="340" customWidth="1"/>
    <col min="2" max="2" width="23.140625" style="44" bestFit="1" customWidth="1"/>
    <col min="3" max="3" width="48.421875" style="44" customWidth="1"/>
    <col min="4" max="4" width="39.8515625" style="44" customWidth="1"/>
    <col min="5" max="5" width="18.28125" style="44" bestFit="1" customWidth="1"/>
    <col min="6" max="6" width="14.28125" style="44" customWidth="1"/>
    <col min="7" max="7" width="14.421875" style="340" customWidth="1"/>
    <col min="8" max="8" width="21.140625" style="44" hidden="1" customWidth="1"/>
    <col min="9" max="9" width="8.8515625" style="44" customWidth="1"/>
    <col min="10" max="10" width="30.57421875" style="44" customWidth="1"/>
    <col min="11" max="16384" width="8.8515625" style="44" customWidth="1"/>
  </cols>
  <sheetData>
    <row r="1" s="341" customFormat="1" ht="10.5"/>
    <row r="2" s="343" customFormat="1" ht="18">
      <c r="B2" s="342" t="s">
        <v>355</v>
      </c>
    </row>
    <row r="3" s="341" customFormat="1" ht="11.25" thickBot="1"/>
    <row r="4" spans="2:8" ht="26.25" thickBot="1">
      <c r="B4" s="253" t="s">
        <v>13</v>
      </c>
      <c r="C4" s="254" t="s">
        <v>14</v>
      </c>
      <c r="D4" s="254" t="s">
        <v>15</v>
      </c>
      <c r="E4" s="254" t="s">
        <v>356</v>
      </c>
      <c r="F4" s="255" t="s">
        <v>252</v>
      </c>
      <c r="H4" s="256" t="s">
        <v>357</v>
      </c>
    </row>
    <row r="5" spans="2:8" ht="12.75" customHeight="1">
      <c r="B5" s="443" t="s">
        <v>358</v>
      </c>
      <c r="C5" s="257" t="s">
        <v>158</v>
      </c>
      <c r="D5" s="257" t="s">
        <v>435</v>
      </c>
      <c r="E5" s="435"/>
      <c r="F5" s="259" t="s">
        <v>360</v>
      </c>
      <c r="H5" s="309">
        <f>ROUND(E5,2)</f>
        <v>0</v>
      </c>
    </row>
    <row r="6" spans="2:8" ht="12.75">
      <c r="B6" s="217"/>
      <c r="C6" s="269" t="s">
        <v>111</v>
      </c>
      <c r="D6" s="269" t="s">
        <v>531</v>
      </c>
      <c r="E6" s="436"/>
      <c r="F6" s="271" t="s">
        <v>362</v>
      </c>
      <c r="H6" s="309">
        <f aca="true" t="shared" si="0" ref="H6:H38">ROUND(E6,2)</f>
        <v>0</v>
      </c>
    </row>
    <row r="7" spans="2:8" ht="12.75">
      <c r="B7" s="217"/>
      <c r="C7" s="269" t="s">
        <v>106</v>
      </c>
      <c r="D7" s="269" t="s">
        <v>531</v>
      </c>
      <c r="E7" s="436"/>
      <c r="F7" s="271" t="s">
        <v>453</v>
      </c>
      <c r="H7" s="309">
        <f t="shared" si="0"/>
        <v>0</v>
      </c>
    </row>
    <row r="8" spans="2:8" ht="12.75">
      <c r="B8" s="217"/>
      <c r="C8" s="269" t="s">
        <v>107</v>
      </c>
      <c r="D8" s="269" t="s">
        <v>531</v>
      </c>
      <c r="E8" s="436"/>
      <c r="F8" s="271" t="s">
        <v>454</v>
      </c>
      <c r="H8" s="309">
        <f t="shared" si="0"/>
        <v>0</v>
      </c>
    </row>
    <row r="9" spans="2:8" ht="13.5" thickBot="1">
      <c r="B9" s="218"/>
      <c r="C9" s="260" t="s">
        <v>108</v>
      </c>
      <c r="D9" s="269" t="s">
        <v>531</v>
      </c>
      <c r="E9" s="437"/>
      <c r="F9" s="262" t="s">
        <v>455</v>
      </c>
      <c r="H9" s="309">
        <f t="shared" si="0"/>
        <v>0</v>
      </c>
    </row>
    <row r="10" spans="2:8" ht="12.75" customHeight="1">
      <c r="B10" s="443" t="s">
        <v>363</v>
      </c>
      <c r="C10" s="257" t="s">
        <v>545</v>
      </c>
      <c r="D10" s="257" t="s">
        <v>21</v>
      </c>
      <c r="E10" s="435"/>
      <c r="F10" s="259" t="s">
        <v>365</v>
      </c>
      <c r="H10" s="309">
        <f t="shared" si="0"/>
        <v>0</v>
      </c>
    </row>
    <row r="11" spans="2:8" ht="12.75" customHeight="1" thickBot="1">
      <c r="B11" s="217"/>
      <c r="C11" s="269" t="s">
        <v>51</v>
      </c>
      <c r="D11" s="269" t="s">
        <v>142</v>
      </c>
      <c r="E11" s="327"/>
      <c r="F11" s="271" t="s">
        <v>368</v>
      </c>
      <c r="H11" s="309"/>
    </row>
    <row r="12" spans="2:8" ht="13.5" thickBot="1">
      <c r="B12" s="218"/>
      <c r="C12" s="269" t="s">
        <v>546</v>
      </c>
      <c r="D12" s="269" t="s">
        <v>530</v>
      </c>
      <c r="E12" s="435"/>
      <c r="F12" s="271" t="s">
        <v>536</v>
      </c>
      <c r="H12" s="309">
        <f t="shared" si="0"/>
        <v>0</v>
      </c>
    </row>
    <row r="13" spans="2:8" ht="12.75">
      <c r="B13" s="443" t="s">
        <v>369</v>
      </c>
      <c r="C13" s="257" t="s">
        <v>98</v>
      </c>
      <c r="D13" s="257" t="s">
        <v>96</v>
      </c>
      <c r="E13" s="435"/>
      <c r="F13" s="259" t="s">
        <v>456</v>
      </c>
      <c r="H13" s="309">
        <f t="shared" si="0"/>
        <v>0</v>
      </c>
    </row>
    <row r="14" spans="2:8" ht="12.75">
      <c r="B14" s="217"/>
      <c r="C14" s="269" t="s">
        <v>98</v>
      </c>
      <c r="D14" s="269" t="s">
        <v>97</v>
      </c>
      <c r="E14" s="436"/>
      <c r="F14" s="271" t="s">
        <v>372</v>
      </c>
      <c r="H14" s="309">
        <f t="shared" si="0"/>
        <v>0</v>
      </c>
    </row>
    <row r="15" spans="2:8" ht="12.75">
      <c r="B15" s="217"/>
      <c r="C15" s="269" t="s">
        <v>90</v>
      </c>
      <c r="D15" s="269" t="s">
        <v>23</v>
      </c>
      <c r="E15" s="436"/>
      <c r="F15" s="271" t="s">
        <v>373</v>
      </c>
      <c r="H15" s="309">
        <f t="shared" si="0"/>
        <v>0</v>
      </c>
    </row>
    <row r="16" spans="2:8" ht="12.75">
      <c r="B16" s="217"/>
      <c r="C16" s="269" t="s">
        <v>92</v>
      </c>
      <c r="D16" s="269" t="s">
        <v>24</v>
      </c>
      <c r="E16" s="436"/>
      <c r="F16" s="271" t="s">
        <v>374</v>
      </c>
      <c r="H16" s="309">
        <f t="shared" si="0"/>
        <v>0</v>
      </c>
    </row>
    <row r="17" spans="2:8" ht="13.5" thickBot="1">
      <c r="B17" s="218"/>
      <c r="C17" s="260" t="s">
        <v>94</v>
      </c>
      <c r="D17" s="260" t="s">
        <v>24</v>
      </c>
      <c r="E17" s="437"/>
      <c r="F17" s="262" t="s">
        <v>457</v>
      </c>
      <c r="H17" s="309">
        <f t="shared" si="0"/>
        <v>0</v>
      </c>
    </row>
    <row r="18" spans="2:8" ht="21" customHeight="1">
      <c r="B18" s="219" t="s">
        <v>375</v>
      </c>
      <c r="C18" s="269" t="s">
        <v>25</v>
      </c>
      <c r="D18" s="269" t="s">
        <v>32</v>
      </c>
      <c r="E18" s="436"/>
      <c r="F18" s="271" t="s">
        <v>377</v>
      </c>
      <c r="H18" s="309">
        <f t="shared" si="0"/>
        <v>0</v>
      </c>
    </row>
    <row r="19" spans="2:8" ht="18.75" customHeight="1">
      <c r="B19" s="168"/>
      <c r="C19" s="269" t="s">
        <v>26</v>
      </c>
      <c r="D19" s="269" t="s">
        <v>531</v>
      </c>
      <c r="E19" s="436"/>
      <c r="F19" s="271" t="s">
        <v>378</v>
      </c>
      <c r="H19" s="309">
        <f t="shared" si="0"/>
        <v>0</v>
      </c>
    </row>
    <row r="20" spans="2:8" ht="18" customHeight="1">
      <c r="B20" s="168"/>
      <c r="C20" s="269" t="s">
        <v>109</v>
      </c>
      <c r="D20" s="269" t="s">
        <v>32</v>
      </c>
      <c r="E20" s="436"/>
      <c r="F20" s="271" t="s">
        <v>458</v>
      </c>
      <c r="H20" s="309">
        <f t="shared" si="0"/>
        <v>0</v>
      </c>
    </row>
    <row r="21" spans="2:8" ht="22.5" customHeight="1" thickBot="1">
      <c r="B21" s="169"/>
      <c r="C21" s="260" t="s">
        <v>103</v>
      </c>
      <c r="D21" s="269" t="s">
        <v>531</v>
      </c>
      <c r="E21" s="437"/>
      <c r="F21" s="262" t="s">
        <v>459</v>
      </c>
      <c r="H21" s="309">
        <f t="shared" si="0"/>
        <v>0</v>
      </c>
    </row>
    <row r="22" spans="2:8" ht="27.75" customHeight="1" thickBot="1">
      <c r="B22" s="314" t="s">
        <v>379</v>
      </c>
      <c r="C22" s="282" t="s">
        <v>27</v>
      </c>
      <c r="D22" s="282" t="s">
        <v>52</v>
      </c>
      <c r="E22" s="328"/>
      <c r="F22" s="284" t="s">
        <v>381</v>
      </c>
      <c r="H22" s="309"/>
    </row>
    <row r="23" spans="2:8" ht="21.75" customHeight="1" thickBot="1">
      <c r="B23" s="314" t="s">
        <v>382</v>
      </c>
      <c r="C23" s="282" t="s">
        <v>0</v>
      </c>
      <c r="D23" s="282" t="s">
        <v>54</v>
      </c>
      <c r="E23" s="438"/>
      <c r="F23" s="284" t="s">
        <v>383</v>
      </c>
      <c r="H23" s="309">
        <f t="shared" si="0"/>
        <v>0</v>
      </c>
    </row>
    <row r="24" spans="2:8" ht="12.75">
      <c r="B24" s="443" t="s">
        <v>448</v>
      </c>
      <c r="C24" s="257" t="s">
        <v>169</v>
      </c>
      <c r="D24" s="257" t="s">
        <v>62</v>
      </c>
      <c r="E24" s="435"/>
      <c r="F24" s="259" t="s">
        <v>460</v>
      </c>
      <c r="H24" s="309">
        <f t="shared" si="0"/>
        <v>0</v>
      </c>
    </row>
    <row r="25" spans="2:8" ht="12.75">
      <c r="B25" s="217"/>
      <c r="C25" s="269" t="s">
        <v>170</v>
      </c>
      <c r="D25" s="269" t="s">
        <v>62</v>
      </c>
      <c r="E25" s="436"/>
      <c r="F25" s="271" t="s">
        <v>401</v>
      </c>
      <c r="H25" s="309">
        <f t="shared" si="0"/>
        <v>0</v>
      </c>
    </row>
    <row r="26" spans="2:8" ht="12.75">
      <c r="B26" s="217"/>
      <c r="C26" s="269" t="s">
        <v>171</v>
      </c>
      <c r="D26" s="269" t="s">
        <v>62</v>
      </c>
      <c r="E26" s="436"/>
      <c r="F26" s="271" t="s">
        <v>403</v>
      </c>
      <c r="H26" s="309">
        <f t="shared" si="0"/>
        <v>0</v>
      </c>
    </row>
    <row r="27" spans="2:8" ht="13.5" thickBot="1">
      <c r="B27" s="218"/>
      <c r="C27" s="260" t="s">
        <v>172</v>
      </c>
      <c r="D27" s="260" t="s">
        <v>62</v>
      </c>
      <c r="E27" s="437"/>
      <c r="F27" s="262" t="s">
        <v>462</v>
      </c>
      <c r="H27" s="309">
        <f t="shared" si="0"/>
        <v>0</v>
      </c>
    </row>
    <row r="28" spans="2:8" ht="12.75" customHeight="1">
      <c r="B28" s="443" t="s">
        <v>450</v>
      </c>
      <c r="C28" s="269" t="s">
        <v>60</v>
      </c>
      <c r="D28" s="269" t="s">
        <v>77</v>
      </c>
      <c r="E28" s="436"/>
      <c r="F28" s="271" t="s">
        <v>406</v>
      </c>
      <c r="H28" s="309">
        <f t="shared" si="0"/>
        <v>0</v>
      </c>
    </row>
    <row r="29" spans="2:8" ht="12.75" customHeight="1">
      <c r="B29" s="217"/>
      <c r="C29" s="269" t="s">
        <v>175</v>
      </c>
      <c r="D29" s="269" t="s">
        <v>531</v>
      </c>
      <c r="E29" s="436"/>
      <c r="F29" s="271" t="s">
        <v>408</v>
      </c>
      <c r="H29" s="309">
        <f t="shared" si="0"/>
        <v>0</v>
      </c>
    </row>
    <row r="30" spans="2:8" ht="13.5" thickBot="1">
      <c r="B30" s="217"/>
      <c r="C30" s="269" t="s">
        <v>532</v>
      </c>
      <c r="D30" s="269" t="s">
        <v>530</v>
      </c>
      <c r="E30" s="436"/>
      <c r="F30" s="271" t="s">
        <v>537</v>
      </c>
      <c r="H30" s="309">
        <f t="shared" si="0"/>
        <v>0</v>
      </c>
    </row>
    <row r="31" spans="2:8" ht="12.75" customHeight="1">
      <c r="B31" s="219" t="s">
        <v>449</v>
      </c>
      <c r="C31" s="257" t="s">
        <v>55</v>
      </c>
      <c r="D31" s="257" t="s">
        <v>32</v>
      </c>
      <c r="E31" s="435"/>
      <c r="F31" s="259" t="s">
        <v>412</v>
      </c>
      <c r="H31" s="309">
        <f t="shared" si="0"/>
        <v>0</v>
      </c>
    </row>
    <row r="32" spans="2:8" ht="12.75">
      <c r="B32" s="168"/>
      <c r="C32" s="269" t="s">
        <v>572</v>
      </c>
      <c r="D32" s="269" t="s">
        <v>142</v>
      </c>
      <c r="E32" s="436"/>
      <c r="F32" s="271" t="s">
        <v>414</v>
      </c>
      <c r="H32" s="309">
        <f t="shared" si="0"/>
        <v>0</v>
      </c>
    </row>
    <row r="33" spans="2:8" ht="12.75">
      <c r="B33" s="168"/>
      <c r="C33" s="269" t="s">
        <v>582</v>
      </c>
      <c r="D33" s="269" t="s">
        <v>142</v>
      </c>
      <c r="E33" s="436"/>
      <c r="F33" s="271" t="s">
        <v>463</v>
      </c>
      <c r="H33" s="309">
        <f t="shared" si="0"/>
        <v>0</v>
      </c>
    </row>
    <row r="34" spans="2:8" ht="12.75">
      <c r="B34" s="168"/>
      <c r="C34" s="269" t="s">
        <v>573</v>
      </c>
      <c r="D34" s="269" t="s">
        <v>76</v>
      </c>
      <c r="E34" s="436"/>
      <c r="F34" s="271" t="s">
        <v>574</v>
      </c>
      <c r="H34" s="309">
        <f t="shared" si="0"/>
        <v>0</v>
      </c>
    </row>
    <row r="35" spans="2:8" ht="13.5" thickBot="1">
      <c r="B35" s="168"/>
      <c r="C35" s="266" t="s">
        <v>576</v>
      </c>
      <c r="D35" s="266" t="s">
        <v>531</v>
      </c>
      <c r="E35" s="439"/>
      <c r="F35" s="273" t="s">
        <v>575</v>
      </c>
      <c r="H35" s="309">
        <f t="shared" si="0"/>
        <v>0</v>
      </c>
    </row>
    <row r="36" spans="2:8" ht="13.5" thickBot="1">
      <c r="B36" s="443" t="s">
        <v>451</v>
      </c>
      <c r="C36" s="260" t="s">
        <v>141</v>
      </c>
      <c r="D36" s="257" t="s">
        <v>531</v>
      </c>
      <c r="E36" s="435"/>
      <c r="F36" s="259" t="s">
        <v>461</v>
      </c>
      <c r="H36" s="309">
        <f t="shared" si="0"/>
        <v>0</v>
      </c>
    </row>
    <row r="37" spans="2:8" ht="13.5" thickBot="1">
      <c r="B37" s="218"/>
      <c r="C37" s="260" t="s">
        <v>104</v>
      </c>
      <c r="D37" s="260" t="s">
        <v>531</v>
      </c>
      <c r="E37" s="437"/>
      <c r="F37" s="262" t="s">
        <v>464</v>
      </c>
      <c r="H37" s="309">
        <f t="shared" si="0"/>
        <v>0</v>
      </c>
    </row>
    <row r="38" spans="2:8" ht="21" customHeight="1" thickBot="1">
      <c r="B38" s="314" t="s">
        <v>452</v>
      </c>
      <c r="C38" s="282" t="s">
        <v>36</v>
      </c>
      <c r="D38" s="282" t="s">
        <v>531</v>
      </c>
      <c r="E38" s="438"/>
      <c r="F38" s="284" t="s">
        <v>418</v>
      </c>
      <c r="H38" s="309">
        <f t="shared" si="0"/>
        <v>0</v>
      </c>
    </row>
    <row r="39" s="340" customFormat="1" ht="13.5" thickBot="1"/>
    <row r="40" spans="2:8" ht="26.25" thickBot="1">
      <c r="B40" s="285" t="s">
        <v>421</v>
      </c>
      <c r="C40" s="344"/>
      <c r="D40" s="345"/>
      <c r="E40" s="346"/>
      <c r="F40" s="340"/>
      <c r="H40" s="340"/>
    </row>
    <row r="41" spans="2:6" ht="13.5" thickBot="1">
      <c r="B41" s="253" t="s">
        <v>13</v>
      </c>
      <c r="C41" s="254" t="s">
        <v>14</v>
      </c>
      <c r="D41" s="254" t="s">
        <v>15</v>
      </c>
      <c r="E41" s="255" t="s">
        <v>59</v>
      </c>
      <c r="F41" s="255" t="s">
        <v>252</v>
      </c>
    </row>
    <row r="42" spans="2:8" ht="45.75" thickBot="1">
      <c r="B42" s="314" t="s">
        <v>86</v>
      </c>
      <c r="C42" s="282" t="s">
        <v>51</v>
      </c>
      <c r="D42" s="282" t="s">
        <v>422</v>
      </c>
      <c r="E42" s="331"/>
      <c r="F42" s="284" t="s">
        <v>368</v>
      </c>
      <c r="H42" s="402">
        <f>ROUND(E42,4)</f>
        <v>0</v>
      </c>
    </row>
    <row r="43" spans="2:8" ht="23.25" thickBot="1">
      <c r="B43" s="274" t="s">
        <v>83</v>
      </c>
      <c r="C43" s="275" t="s">
        <v>27</v>
      </c>
      <c r="D43" s="275" t="s">
        <v>564</v>
      </c>
      <c r="E43" s="329"/>
      <c r="F43" s="330" t="s">
        <v>381</v>
      </c>
      <c r="H43" s="402">
        <f>ROUND(E43,4)</f>
        <v>0</v>
      </c>
    </row>
    <row r="44" s="340" customFormat="1" ht="12.75"/>
    <row r="45" s="340" customFormat="1" ht="12.75"/>
    <row r="46" s="340" customFormat="1" ht="12.75"/>
  </sheetData>
  <sheetProtection password="A28C" sheet="1" objects="1" scenarios="1"/>
  <mergeCells count="8">
    <mergeCell ref="B28:B30"/>
    <mergeCell ref="B36:B37"/>
    <mergeCell ref="B5:B9"/>
    <mergeCell ref="B10:B12"/>
    <mergeCell ref="B13:B17"/>
    <mergeCell ref="B24:B27"/>
    <mergeCell ref="B18:B21"/>
    <mergeCell ref="B31:B35"/>
  </mergeCells>
  <printOptions/>
  <pageMargins left="0.71" right="0.71" top="0.7500000000000001" bottom="0.7500000000000001" header="0.31" footer="0.31"/>
  <pageSetup fitToHeight="1" fitToWidth="1" orientation="portrait" paperSize="9"/>
  <legacyDrawing r:id="rId2"/>
</worksheet>
</file>

<file path=xl/worksheets/sheet8.xml><?xml version="1.0" encoding="utf-8"?>
<worksheet xmlns="http://schemas.openxmlformats.org/spreadsheetml/2006/main" xmlns:r="http://schemas.openxmlformats.org/officeDocument/2006/relationships">
  <sheetPr>
    <tabColor rgb="FFFFFF00"/>
  </sheetPr>
  <dimension ref="B1:BO16"/>
  <sheetViews>
    <sheetView zoomScalePageLayoutView="90" workbookViewId="0" topLeftCell="A3">
      <selection activeCell="D22" sqref="D22"/>
    </sheetView>
  </sheetViews>
  <sheetFormatPr defaultColWidth="8.8515625" defaultRowHeight="12.75"/>
  <cols>
    <col min="1" max="1" width="5.140625" style="340" customWidth="1"/>
    <col min="2" max="2" width="18.140625" style="44" customWidth="1"/>
    <col min="3" max="3" width="19.7109375" style="44" customWidth="1"/>
    <col min="4" max="4" width="16.7109375" style="44" customWidth="1"/>
    <col min="5" max="5" width="10.7109375" style="340" customWidth="1"/>
    <col min="6" max="6" width="20.421875" style="340" customWidth="1"/>
    <col min="7" max="7" width="20.28125" style="340" customWidth="1"/>
    <col min="8" max="8" width="16.421875" style="340" customWidth="1"/>
    <col min="9" max="9" width="19.421875" style="340" customWidth="1"/>
    <col min="10" max="10" width="17.00390625" style="340" customWidth="1"/>
    <col min="11" max="11" width="17.8515625" style="340" customWidth="1"/>
    <col min="12" max="12" width="14.28125" style="340" customWidth="1"/>
    <col min="13" max="16384" width="8.8515625" style="44" customWidth="1"/>
  </cols>
  <sheetData>
    <row r="1" s="341" customFormat="1" ht="10.5">
      <c r="G1" s="347"/>
    </row>
    <row r="2" spans="2:7" s="343" customFormat="1" ht="18">
      <c r="B2" s="342" t="s">
        <v>488</v>
      </c>
      <c r="G2" s="348"/>
    </row>
    <row r="3" s="341" customFormat="1" ht="10.5">
      <c r="G3" s="347"/>
    </row>
    <row r="4" s="340" customFormat="1" ht="13.5" thickBot="1"/>
    <row r="5" spans="2:67" ht="26.25" thickBot="1">
      <c r="B5" s="291" t="s">
        <v>423</v>
      </c>
      <c r="C5" s="291" t="s">
        <v>42</v>
      </c>
      <c r="D5" s="285" t="s">
        <v>43</v>
      </c>
      <c r="E5" s="350"/>
      <c r="F5" s="350"/>
      <c r="G5" s="350"/>
      <c r="H5" s="350"/>
      <c r="I5" s="350"/>
      <c r="J5" s="350"/>
      <c r="K5" s="350"/>
      <c r="L5" s="350"/>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row>
    <row r="6" spans="2:67" ht="19.5" customHeight="1">
      <c r="B6" s="433" t="s">
        <v>6</v>
      </c>
      <c r="C6" s="434" t="s">
        <v>44</v>
      </c>
      <c r="D6" s="440"/>
      <c r="E6" s="350"/>
      <c r="F6" s="350"/>
      <c r="G6" s="350"/>
      <c r="H6" s="350"/>
      <c r="I6" s="350"/>
      <c r="J6" s="350"/>
      <c r="K6" s="350"/>
      <c r="L6" s="350"/>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row>
    <row r="7" spans="2:67" ht="18.75" customHeight="1">
      <c r="B7" s="293" t="s">
        <v>7</v>
      </c>
      <c r="C7" s="294" t="s">
        <v>44</v>
      </c>
      <c r="D7" s="444"/>
      <c r="E7" s="350"/>
      <c r="F7" s="350"/>
      <c r="G7" s="350"/>
      <c r="H7" s="350"/>
      <c r="I7" s="350"/>
      <c r="J7" s="350"/>
      <c r="K7" s="350"/>
      <c r="L7" s="350"/>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row>
    <row r="8" spans="2:67" ht="18" customHeight="1">
      <c r="B8" s="293" t="s">
        <v>8</v>
      </c>
      <c r="C8" s="294" t="s">
        <v>44</v>
      </c>
      <c r="D8" s="444"/>
      <c r="E8" s="350"/>
      <c r="F8" s="350"/>
      <c r="G8" s="350"/>
      <c r="H8" s="350"/>
      <c r="I8" s="350"/>
      <c r="J8" s="350"/>
      <c r="K8" s="350"/>
      <c r="L8" s="350"/>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row>
    <row r="9" spans="2:67" ht="20.25" customHeight="1">
      <c r="B9" s="293" t="s">
        <v>9</v>
      </c>
      <c r="C9" s="294" t="s">
        <v>44</v>
      </c>
      <c r="D9" s="444"/>
      <c r="E9" s="350"/>
      <c r="F9" s="350"/>
      <c r="G9" s="350"/>
      <c r="H9" s="350"/>
      <c r="I9" s="350"/>
      <c r="J9" s="350"/>
      <c r="K9" s="350"/>
      <c r="L9" s="350"/>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c r="BJ9" s="292"/>
      <c r="BK9" s="292"/>
      <c r="BL9" s="292"/>
      <c r="BM9" s="292"/>
      <c r="BN9" s="292"/>
      <c r="BO9" s="292"/>
    </row>
    <row r="10" spans="2:67" ht="19.5" customHeight="1">
      <c r="B10" s="293" t="s">
        <v>10</v>
      </c>
      <c r="C10" s="294" t="s">
        <v>44</v>
      </c>
      <c r="D10" s="444"/>
      <c r="E10" s="350"/>
      <c r="F10" s="350"/>
      <c r="G10" s="350"/>
      <c r="H10" s="350"/>
      <c r="I10" s="350"/>
      <c r="J10" s="350"/>
      <c r="K10" s="350"/>
      <c r="L10" s="350"/>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c r="BJ10" s="292"/>
      <c r="BK10" s="292"/>
      <c r="BL10" s="292"/>
      <c r="BM10" s="292"/>
      <c r="BN10" s="292"/>
      <c r="BO10" s="292"/>
    </row>
    <row r="11" spans="2:67" ht="19.5" customHeight="1">
      <c r="B11" s="293" t="s">
        <v>11</v>
      </c>
      <c r="C11" s="294" t="s">
        <v>44</v>
      </c>
      <c r="D11" s="444"/>
      <c r="E11" s="350"/>
      <c r="F11" s="350"/>
      <c r="G11" s="350"/>
      <c r="H11" s="350"/>
      <c r="I11" s="350"/>
      <c r="J11" s="350"/>
      <c r="K11" s="350"/>
      <c r="L11" s="350"/>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292"/>
      <c r="BH11" s="292"/>
      <c r="BI11" s="292"/>
      <c r="BJ11" s="292"/>
      <c r="BK11" s="292"/>
      <c r="BL11" s="292"/>
      <c r="BM11" s="292"/>
      <c r="BN11" s="292"/>
      <c r="BO11" s="292"/>
    </row>
    <row r="12" spans="2:67" ht="21.75" customHeight="1" thickBot="1">
      <c r="B12" s="295" t="s">
        <v>12</v>
      </c>
      <c r="C12" s="296" t="s">
        <v>44</v>
      </c>
      <c r="D12" s="445"/>
      <c r="E12" s="350"/>
      <c r="F12" s="350"/>
      <c r="G12" s="350"/>
      <c r="H12" s="350"/>
      <c r="I12" s="350"/>
      <c r="J12" s="350"/>
      <c r="K12" s="350"/>
      <c r="L12" s="350"/>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292"/>
      <c r="BG12" s="292"/>
      <c r="BH12" s="292"/>
      <c r="BI12" s="292"/>
      <c r="BJ12" s="292"/>
      <c r="BK12" s="292"/>
      <c r="BL12" s="292"/>
      <c r="BM12" s="292"/>
      <c r="BN12" s="292"/>
      <c r="BO12" s="292"/>
    </row>
    <row r="13" s="340" customFormat="1" ht="12.75"/>
    <row r="14" spans="2:9" s="340" customFormat="1" ht="12.75">
      <c r="B14" s="350"/>
      <c r="C14" s="432"/>
      <c r="D14" s="350"/>
      <c r="E14" s="350"/>
      <c r="F14" s="350"/>
      <c r="G14" s="350"/>
      <c r="H14" s="350"/>
      <c r="I14" s="350"/>
    </row>
    <row r="15" spans="2:9" s="340" customFormat="1" ht="12.75">
      <c r="B15" s="350"/>
      <c r="C15" s="432"/>
      <c r="D15" s="350"/>
      <c r="E15" s="350"/>
      <c r="F15" s="350"/>
      <c r="G15" s="350"/>
      <c r="H15" s="350"/>
      <c r="I15" s="350"/>
    </row>
    <row r="16" spans="2:9" s="340" customFormat="1" ht="12.75">
      <c r="B16" s="350"/>
      <c r="C16" s="432"/>
      <c r="D16" s="350"/>
      <c r="E16" s="350"/>
      <c r="F16" s="350"/>
      <c r="G16" s="350"/>
      <c r="H16" s="350"/>
      <c r="I16" s="350"/>
    </row>
  </sheetData>
  <sheetProtection password="A28C" sheet="1" objects="1" scenarios="1"/>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AB44"/>
  <sheetViews>
    <sheetView zoomScalePageLayoutView="0" workbookViewId="0" topLeftCell="A3">
      <selection activeCell="E35" sqref="E35"/>
    </sheetView>
  </sheetViews>
  <sheetFormatPr defaultColWidth="8.8515625" defaultRowHeight="12.75"/>
  <cols>
    <col min="1" max="1" width="4.140625" style="44" customWidth="1"/>
    <col min="2" max="2" width="33.28125" style="44" bestFit="1" customWidth="1"/>
    <col min="3" max="3" width="24.421875" style="44" customWidth="1"/>
    <col min="4" max="4" width="16.421875" style="44" customWidth="1"/>
    <col min="5" max="5" width="14.28125" style="44" customWidth="1"/>
    <col min="6" max="7" width="13.8515625" style="44" customWidth="1"/>
    <col min="8" max="8" width="13.421875" style="44" customWidth="1"/>
    <col min="9" max="9" width="13.140625" style="44" customWidth="1"/>
    <col min="10" max="10" width="18.8515625" style="54" bestFit="1" customWidth="1"/>
    <col min="11" max="11" width="24.140625" style="45" customWidth="1"/>
    <col min="12" max="13" width="21.00390625" style="132" customWidth="1"/>
    <col min="14" max="14" width="24.140625" style="45" customWidth="1"/>
    <col min="15" max="15" width="36.00390625" style="46" customWidth="1"/>
    <col min="16" max="16" width="33.8515625" style="46" customWidth="1"/>
    <col min="17" max="17" width="30.421875" style="46" customWidth="1"/>
    <col min="18" max="22" width="8.8515625" style="44" customWidth="1"/>
    <col min="23" max="23" width="17.8515625" style="44" hidden="1" customWidth="1"/>
    <col min="24" max="24" width="21.140625" style="44" hidden="1" customWidth="1"/>
    <col min="25" max="25" width="17.28125" style="44" hidden="1" customWidth="1"/>
    <col min="26" max="26" width="20.8515625" style="44" hidden="1" customWidth="1"/>
    <col min="27" max="27" width="19.140625" style="44" hidden="1" customWidth="1"/>
    <col min="28" max="28" width="17.140625" style="44" hidden="1" customWidth="1"/>
    <col min="29" max="29" width="8.8515625" style="44" customWidth="1"/>
    <col min="30" max="16384" width="8.8515625" style="44" customWidth="1"/>
  </cols>
  <sheetData>
    <row r="1" spans="12:13" s="55" customFormat="1" ht="12.75">
      <c r="L1" s="130"/>
      <c r="M1" s="130"/>
    </row>
    <row r="2" spans="2:13" s="56" customFormat="1" ht="20.25">
      <c r="B2" s="56" t="s">
        <v>217</v>
      </c>
      <c r="L2" s="131"/>
      <c r="M2" s="131"/>
    </row>
    <row r="3" spans="12:13" s="55" customFormat="1" ht="12.75">
      <c r="L3" s="130"/>
      <c r="M3" s="130"/>
    </row>
    <row r="5" ht="12.75">
      <c r="W5" s="11" t="s">
        <v>225</v>
      </c>
    </row>
    <row r="6" spans="2:28" ht="75.75" customHeight="1">
      <c r="B6" s="58" t="s">
        <v>174</v>
      </c>
      <c r="C6" s="58" t="s">
        <v>14</v>
      </c>
      <c r="D6" s="58" t="s">
        <v>15</v>
      </c>
      <c r="E6" s="58" t="s">
        <v>1</v>
      </c>
      <c r="F6" s="58" t="s">
        <v>2</v>
      </c>
      <c r="G6" s="58" t="s">
        <v>3</v>
      </c>
      <c r="H6" s="58" t="s">
        <v>4</v>
      </c>
      <c r="I6" s="58" t="s">
        <v>5</v>
      </c>
      <c r="J6" s="58" t="s">
        <v>151</v>
      </c>
      <c r="K6" s="150" t="s">
        <v>246</v>
      </c>
      <c r="L6" s="150" t="s">
        <v>247</v>
      </c>
      <c r="M6" s="59" t="s">
        <v>245</v>
      </c>
      <c r="N6" s="59" t="s">
        <v>248</v>
      </c>
      <c r="O6" s="58" t="s">
        <v>218</v>
      </c>
      <c r="P6" s="108" t="s">
        <v>219</v>
      </c>
      <c r="Q6" s="59" t="s">
        <v>144</v>
      </c>
      <c r="W6" s="145" t="s">
        <v>174</v>
      </c>
      <c r="X6" s="145" t="s">
        <v>14</v>
      </c>
      <c r="Y6" s="145" t="s">
        <v>15</v>
      </c>
      <c r="Z6" s="145" t="s">
        <v>151</v>
      </c>
      <c r="AA6" s="59" t="s">
        <v>226</v>
      </c>
      <c r="AB6" s="59" t="s">
        <v>227</v>
      </c>
    </row>
    <row r="7" spans="2:28" ht="76.5" customHeight="1">
      <c r="B7" s="185" t="s">
        <v>80</v>
      </c>
      <c r="C7" s="109" t="s">
        <v>159</v>
      </c>
      <c r="D7" s="109" t="s">
        <v>41</v>
      </c>
      <c r="E7" s="133" t="e">
        <f>#REF!*#REF!</f>
        <v>#REF!</v>
      </c>
      <c r="F7" s="133" t="e">
        <f>#REF!*#REF!</f>
        <v>#REF!</v>
      </c>
      <c r="G7" s="133" t="e">
        <f>#REF!*#REF!</f>
        <v>#REF!</v>
      </c>
      <c r="H7" s="133" t="e">
        <f>#REF!*#REF!</f>
        <v>#REF!</v>
      </c>
      <c r="I7" s="133" t="e">
        <f>#REF!*#REF!</f>
        <v>#REF!</v>
      </c>
      <c r="J7" s="134" t="e">
        <f>SUM(E7:I7)</f>
        <v>#REF!</v>
      </c>
      <c r="K7" s="510">
        <v>4625000</v>
      </c>
      <c r="L7" s="508" t="e">
        <f>(SUM(J7:J8)-K7)/K7</f>
        <v>#REF!</v>
      </c>
      <c r="M7" s="186">
        <v>8062317</v>
      </c>
      <c r="N7" s="513" t="e">
        <f>(SUM(J7:J15)-M7)/M7</f>
        <v>#REF!</v>
      </c>
      <c r="O7" s="110" t="s">
        <v>228</v>
      </c>
      <c r="P7" s="111" t="s">
        <v>149</v>
      </c>
      <c r="Q7" s="112"/>
      <c r="W7" s="185" t="s">
        <v>80</v>
      </c>
      <c r="X7" s="109" t="s">
        <v>159</v>
      </c>
      <c r="Y7" s="109" t="s">
        <v>41</v>
      </c>
      <c r="Z7" s="134" t="e">
        <f>J7</f>
        <v>#REF!</v>
      </c>
      <c r="AA7" s="146" t="e">
        <f>#REF!</f>
        <v>#REF!</v>
      </c>
      <c r="AB7" s="149" t="e">
        <f aca="true" t="shared" si="0" ref="AB7:AB25">Z7-AA7</f>
        <v>#REF!</v>
      </c>
    </row>
    <row r="8" spans="2:28" ht="110.25" customHeight="1">
      <c r="B8" s="185"/>
      <c r="C8" s="109" t="s">
        <v>160</v>
      </c>
      <c r="D8" s="109" t="s">
        <v>41</v>
      </c>
      <c r="E8" s="133" t="e">
        <f>#REF!*#REF!</f>
        <v>#REF!</v>
      </c>
      <c r="F8" s="133" t="e">
        <f>#REF!*#REF!</f>
        <v>#REF!</v>
      </c>
      <c r="G8" s="133" t="e">
        <f>#REF!*#REF!</f>
        <v>#REF!</v>
      </c>
      <c r="H8" s="133" t="e">
        <f>#REF!*#REF!</f>
        <v>#REF!</v>
      </c>
      <c r="I8" s="133" t="e">
        <f>#REF!*#REF!</f>
        <v>#REF!</v>
      </c>
      <c r="J8" s="134" t="e">
        <f aca="true" t="shared" si="1" ref="J8:J14">SUM(E8:I8)</f>
        <v>#REF!</v>
      </c>
      <c r="K8" s="511"/>
      <c r="L8" s="508"/>
      <c r="M8" s="512"/>
      <c r="N8" s="514"/>
      <c r="O8" s="110" t="s">
        <v>241</v>
      </c>
      <c r="P8" s="111" t="s">
        <v>242</v>
      </c>
      <c r="Q8" s="112"/>
      <c r="W8" s="185"/>
      <c r="X8" s="109" t="s">
        <v>160</v>
      </c>
      <c r="Y8" s="109" t="s">
        <v>41</v>
      </c>
      <c r="Z8" s="134" t="e">
        <f aca="true" t="shared" si="2" ref="Z8:Z41">J8</f>
        <v>#REF!</v>
      </c>
      <c r="AA8" s="146" t="e">
        <f>#REF!</f>
        <v>#REF!</v>
      </c>
      <c r="AB8" s="149" t="e">
        <f t="shared" si="0"/>
        <v>#REF!</v>
      </c>
    </row>
    <row r="9" spans="2:28" ht="44.25" customHeight="1">
      <c r="B9" s="185"/>
      <c r="C9" s="113" t="s">
        <v>161</v>
      </c>
      <c r="D9" s="109" t="s">
        <v>41</v>
      </c>
      <c r="E9" s="133" t="e">
        <f>#REF!*#REF!</f>
        <v>#REF!</v>
      </c>
      <c r="F9" s="133" t="e">
        <f>#REF!*#REF!</f>
        <v>#REF!</v>
      </c>
      <c r="G9" s="133" t="e">
        <f>#REF!*#REF!</f>
        <v>#REF!</v>
      </c>
      <c r="H9" s="133" t="e">
        <f>#REF!*#REF!</f>
        <v>#REF!</v>
      </c>
      <c r="I9" s="133" t="e">
        <f>#REF!*#REF!</f>
        <v>#REF!</v>
      </c>
      <c r="J9" s="134" t="e">
        <f t="shared" si="1"/>
        <v>#REF!</v>
      </c>
      <c r="K9" s="129"/>
      <c r="L9" s="129"/>
      <c r="M9" s="512"/>
      <c r="N9" s="514"/>
      <c r="O9" s="110" t="s">
        <v>152</v>
      </c>
      <c r="P9" s="114"/>
      <c r="Q9" s="112"/>
      <c r="W9" s="185"/>
      <c r="X9" s="113" t="s">
        <v>161</v>
      </c>
      <c r="Y9" s="109" t="s">
        <v>41</v>
      </c>
      <c r="Z9" s="134" t="e">
        <f t="shared" si="2"/>
        <v>#REF!</v>
      </c>
      <c r="AA9" s="146" t="e">
        <f>#REF!</f>
        <v>#REF!</v>
      </c>
      <c r="AB9" s="149" t="e">
        <f t="shared" si="0"/>
        <v>#REF!</v>
      </c>
    </row>
    <row r="10" spans="2:28" ht="44.25" customHeight="1">
      <c r="B10" s="185"/>
      <c r="C10" s="113" t="s">
        <v>162</v>
      </c>
      <c r="D10" s="109" t="s">
        <v>41</v>
      </c>
      <c r="E10" s="133" t="e">
        <f>#REF!*#REF!</f>
        <v>#REF!</v>
      </c>
      <c r="F10" s="133" t="e">
        <f>#REF!*#REF!</f>
        <v>#REF!</v>
      </c>
      <c r="G10" s="133" t="e">
        <f>#REF!*#REF!</f>
        <v>#REF!</v>
      </c>
      <c r="H10" s="133" t="e">
        <f>#REF!*#REF!</f>
        <v>#REF!</v>
      </c>
      <c r="I10" s="133" t="e">
        <f>#REF!*#REF!</f>
        <v>#REF!</v>
      </c>
      <c r="J10" s="134" t="e">
        <f t="shared" si="1"/>
        <v>#REF!</v>
      </c>
      <c r="K10" s="129"/>
      <c r="L10" s="129"/>
      <c r="M10" s="512"/>
      <c r="N10" s="514"/>
      <c r="O10" s="110" t="s">
        <v>238</v>
      </c>
      <c r="P10" s="112"/>
      <c r="Q10" s="112"/>
      <c r="W10" s="185"/>
      <c r="X10" s="113" t="s">
        <v>162</v>
      </c>
      <c r="Y10" s="109" t="s">
        <v>41</v>
      </c>
      <c r="Z10" s="134" t="e">
        <f t="shared" si="2"/>
        <v>#REF!</v>
      </c>
      <c r="AA10" s="146" t="e">
        <f>#REF!</f>
        <v>#REF!</v>
      </c>
      <c r="AB10" s="149" t="e">
        <f t="shared" si="0"/>
        <v>#REF!</v>
      </c>
    </row>
    <row r="11" spans="2:28" ht="39" customHeight="1">
      <c r="B11" s="185"/>
      <c r="C11" s="113" t="s">
        <v>164</v>
      </c>
      <c r="D11" s="109" t="s">
        <v>17</v>
      </c>
      <c r="E11" s="133" t="e">
        <f>#REF!*#REF!</f>
        <v>#REF!</v>
      </c>
      <c r="F11" s="133" t="e">
        <f>#REF!*#REF!</f>
        <v>#REF!</v>
      </c>
      <c r="G11" s="133" t="e">
        <f>#REF!*#REF!</f>
        <v>#REF!</v>
      </c>
      <c r="H11" s="133" t="e">
        <f>#REF!*#REF!</f>
        <v>#REF!</v>
      </c>
      <c r="I11" s="133" t="e">
        <f>#REF!*#REF!</f>
        <v>#REF!</v>
      </c>
      <c r="J11" s="134" t="e">
        <f t="shared" si="1"/>
        <v>#REF!</v>
      </c>
      <c r="K11" s="510">
        <v>7320600</v>
      </c>
      <c r="L11" s="508" t="e">
        <f>(SUM(J11:J15)-K11)/K11</f>
        <v>#REF!</v>
      </c>
      <c r="M11" s="512"/>
      <c r="N11" s="514"/>
      <c r="O11" s="517" t="s">
        <v>250</v>
      </c>
      <c r="P11" s="503"/>
      <c r="Q11" s="503"/>
      <c r="W11" s="185"/>
      <c r="X11" s="113" t="s">
        <v>164</v>
      </c>
      <c r="Y11" s="109" t="s">
        <v>17</v>
      </c>
      <c r="Z11" s="134" t="e">
        <f t="shared" si="2"/>
        <v>#REF!</v>
      </c>
      <c r="AA11" s="146" t="e">
        <f>#REF!</f>
        <v>#REF!</v>
      </c>
      <c r="AB11" s="149" t="e">
        <f t="shared" si="0"/>
        <v>#REF!</v>
      </c>
    </row>
    <row r="12" spans="2:28" ht="40.5" customHeight="1">
      <c r="B12" s="185"/>
      <c r="C12" s="113" t="s">
        <v>163</v>
      </c>
      <c r="D12" s="109" t="s">
        <v>17</v>
      </c>
      <c r="E12" s="133" t="e">
        <f>#REF!*#REF!</f>
        <v>#REF!</v>
      </c>
      <c r="F12" s="133" t="e">
        <f>#REF!*#REF!</f>
        <v>#REF!</v>
      </c>
      <c r="G12" s="133" t="e">
        <f>#REF!*#REF!</f>
        <v>#REF!</v>
      </c>
      <c r="H12" s="133" t="e">
        <f>#REF!*#REF!</f>
        <v>#REF!</v>
      </c>
      <c r="I12" s="133" t="e">
        <f>#REF!*#REF!</f>
        <v>#REF!</v>
      </c>
      <c r="J12" s="134" t="e">
        <f t="shared" si="1"/>
        <v>#REF!</v>
      </c>
      <c r="K12" s="516"/>
      <c r="L12" s="508"/>
      <c r="M12" s="512"/>
      <c r="N12" s="514"/>
      <c r="O12" s="499"/>
      <c r="P12" s="503"/>
      <c r="Q12" s="503"/>
      <c r="W12" s="185"/>
      <c r="X12" s="113" t="s">
        <v>163</v>
      </c>
      <c r="Y12" s="109" t="s">
        <v>17</v>
      </c>
      <c r="Z12" s="134" t="e">
        <f t="shared" si="2"/>
        <v>#REF!</v>
      </c>
      <c r="AA12" s="146" t="e">
        <f>#REF!</f>
        <v>#REF!</v>
      </c>
      <c r="AB12" s="149" t="e">
        <f t="shared" si="0"/>
        <v>#REF!</v>
      </c>
    </row>
    <row r="13" spans="2:28" ht="27.75" customHeight="1">
      <c r="B13" s="185"/>
      <c r="C13" s="113" t="s">
        <v>106</v>
      </c>
      <c r="D13" s="109" t="s">
        <v>17</v>
      </c>
      <c r="E13" s="133" t="e">
        <f>#REF!*#REF!</f>
        <v>#REF!</v>
      </c>
      <c r="F13" s="133" t="e">
        <f>#REF!*#REF!</f>
        <v>#REF!</v>
      </c>
      <c r="G13" s="133" t="e">
        <f>#REF!*#REF!</f>
        <v>#REF!</v>
      </c>
      <c r="H13" s="133" t="e">
        <f>#REF!*#REF!</f>
        <v>#REF!</v>
      </c>
      <c r="I13" s="133" t="e">
        <f>#REF!*#REF!</f>
        <v>#REF!</v>
      </c>
      <c r="J13" s="134" t="e">
        <f t="shared" si="1"/>
        <v>#REF!</v>
      </c>
      <c r="K13" s="516"/>
      <c r="L13" s="508"/>
      <c r="M13" s="512"/>
      <c r="N13" s="514"/>
      <c r="O13" s="499"/>
      <c r="P13" s="503"/>
      <c r="Q13" s="503"/>
      <c r="W13" s="185"/>
      <c r="X13" s="113" t="s">
        <v>106</v>
      </c>
      <c r="Y13" s="109" t="s">
        <v>17</v>
      </c>
      <c r="Z13" s="134" t="e">
        <f t="shared" si="2"/>
        <v>#REF!</v>
      </c>
      <c r="AA13" s="146" t="e">
        <f>#REF!</f>
        <v>#REF!</v>
      </c>
      <c r="AB13" s="149" t="e">
        <f t="shared" si="0"/>
        <v>#REF!</v>
      </c>
    </row>
    <row r="14" spans="2:28" ht="28.5" customHeight="1">
      <c r="B14" s="185"/>
      <c r="C14" s="113" t="s">
        <v>107</v>
      </c>
      <c r="D14" s="109" t="s">
        <v>17</v>
      </c>
      <c r="E14" s="133" t="e">
        <f>#REF!*#REF!</f>
        <v>#REF!</v>
      </c>
      <c r="F14" s="133" t="e">
        <f>#REF!*#REF!</f>
        <v>#REF!</v>
      </c>
      <c r="G14" s="133" t="e">
        <f>#REF!*#REF!</f>
        <v>#REF!</v>
      </c>
      <c r="H14" s="133" t="e">
        <f>#REF!*#REF!</f>
        <v>#REF!</v>
      </c>
      <c r="I14" s="133" t="e">
        <f>#REF!*#REF!</f>
        <v>#REF!</v>
      </c>
      <c r="J14" s="134" t="e">
        <f t="shared" si="1"/>
        <v>#REF!</v>
      </c>
      <c r="K14" s="516"/>
      <c r="L14" s="508"/>
      <c r="M14" s="512"/>
      <c r="N14" s="514"/>
      <c r="O14" s="499"/>
      <c r="P14" s="503"/>
      <c r="Q14" s="503"/>
      <c r="W14" s="185"/>
      <c r="X14" s="113" t="s">
        <v>107</v>
      </c>
      <c r="Y14" s="109" t="s">
        <v>17</v>
      </c>
      <c r="Z14" s="134" t="e">
        <f t="shared" si="2"/>
        <v>#REF!</v>
      </c>
      <c r="AA14" s="146" t="e">
        <f>#REF!</f>
        <v>#REF!</v>
      </c>
      <c r="AB14" s="149" t="e">
        <f t="shared" si="0"/>
        <v>#REF!</v>
      </c>
    </row>
    <row r="15" spans="2:28" ht="23.25" customHeight="1">
      <c r="B15" s="185"/>
      <c r="C15" s="113" t="s">
        <v>108</v>
      </c>
      <c r="D15" s="109" t="s">
        <v>17</v>
      </c>
      <c r="E15" s="133" t="e">
        <f>#REF!*#REF!</f>
        <v>#REF!</v>
      </c>
      <c r="F15" s="133" t="e">
        <f>#REF!*#REF!</f>
        <v>#REF!</v>
      </c>
      <c r="G15" s="133" t="e">
        <f>#REF!*#REF!</f>
        <v>#REF!</v>
      </c>
      <c r="H15" s="133" t="e">
        <f>#REF!*#REF!</f>
        <v>#REF!</v>
      </c>
      <c r="I15" s="133" t="e">
        <f>#REF!*#REF!</f>
        <v>#REF!</v>
      </c>
      <c r="J15" s="134" t="e">
        <f>SUM(E15:I15)</f>
        <v>#REF!</v>
      </c>
      <c r="K15" s="511"/>
      <c r="L15" s="508"/>
      <c r="M15" s="506"/>
      <c r="N15" s="515"/>
      <c r="O15" s="499"/>
      <c r="P15" s="503"/>
      <c r="Q15" s="503"/>
      <c r="W15" s="185"/>
      <c r="X15" s="113" t="s">
        <v>108</v>
      </c>
      <c r="Y15" s="109" t="s">
        <v>17</v>
      </c>
      <c r="Z15" s="134" t="e">
        <f t="shared" si="2"/>
        <v>#REF!</v>
      </c>
      <c r="AA15" s="146" t="e">
        <f>#REF!</f>
        <v>#REF!</v>
      </c>
      <c r="AB15" s="149" t="e">
        <f t="shared" si="0"/>
        <v>#REF!</v>
      </c>
    </row>
    <row r="16" spans="2:28" ht="97.5" customHeight="1">
      <c r="B16" s="175" t="s">
        <v>86</v>
      </c>
      <c r="C16" s="118" t="s">
        <v>19</v>
      </c>
      <c r="D16" s="118" t="s">
        <v>20</v>
      </c>
      <c r="E16" s="135" t="e">
        <f>#REF!*#REF!</f>
        <v>#REF!</v>
      </c>
      <c r="F16" s="135" t="e">
        <f>#REF!*#REF!</f>
        <v>#REF!</v>
      </c>
      <c r="G16" s="135" t="e">
        <f>#REF!*#REF!</f>
        <v>#REF!</v>
      </c>
      <c r="H16" s="135" t="e">
        <f>#REF!*#REF!</f>
        <v>#REF!</v>
      </c>
      <c r="I16" s="135" t="e">
        <f>#REF!*#REF!</f>
        <v>#REF!</v>
      </c>
      <c r="J16" s="136" t="e">
        <f>SUM(E16:I16)</f>
        <v>#REF!</v>
      </c>
      <c r="K16" s="137">
        <v>5071425</v>
      </c>
      <c r="L16" s="140" t="e">
        <f>(J16-K16)/K16</f>
        <v>#REF!</v>
      </c>
      <c r="M16" s="180">
        <v>9489912</v>
      </c>
      <c r="N16" s="183" t="e">
        <f>(SUM(J16:J17)-M16)/M16</f>
        <v>#REF!</v>
      </c>
      <c r="O16" s="107" t="s">
        <v>244</v>
      </c>
      <c r="P16" s="61" t="s">
        <v>150</v>
      </c>
      <c r="Q16" s="61"/>
      <c r="W16" s="175" t="s">
        <v>86</v>
      </c>
      <c r="X16" s="118" t="s">
        <v>19</v>
      </c>
      <c r="Y16" s="118" t="s">
        <v>20</v>
      </c>
      <c r="Z16" s="136" t="e">
        <f t="shared" si="2"/>
        <v>#REF!</v>
      </c>
      <c r="AA16" s="148" t="e">
        <f>#REF!+#REF!</f>
        <v>#REF!</v>
      </c>
      <c r="AB16" s="149" t="e">
        <f t="shared" si="0"/>
        <v>#REF!</v>
      </c>
    </row>
    <row r="17" spans="2:28" ht="141.75" customHeight="1">
      <c r="B17" s="175"/>
      <c r="C17" s="118" t="s">
        <v>51</v>
      </c>
      <c r="D17" s="118" t="s">
        <v>22</v>
      </c>
      <c r="E17" s="135" t="e">
        <f>#REF!</f>
        <v>#REF!</v>
      </c>
      <c r="F17" s="135" t="e">
        <f>#REF!</f>
        <v>#REF!</v>
      </c>
      <c r="G17" s="135" t="e">
        <f>#REF!</f>
        <v>#REF!</v>
      </c>
      <c r="H17" s="135" t="e">
        <f>#REF!</f>
        <v>#REF!</v>
      </c>
      <c r="I17" s="135" t="e">
        <f>#REF!</f>
        <v>#REF!</v>
      </c>
      <c r="J17" s="136" t="e">
        <f aca="true" t="shared" si="3" ref="J17:J23">SUM(E17:I17)</f>
        <v>#REF!</v>
      </c>
      <c r="K17" s="137">
        <v>1846025.1</v>
      </c>
      <c r="L17" s="141" t="e">
        <f>(J17-K17)/K17</f>
        <v>#REF!</v>
      </c>
      <c r="M17" s="506"/>
      <c r="N17" s="507"/>
      <c r="O17" s="119" t="s">
        <v>153</v>
      </c>
      <c r="P17" s="61" t="s">
        <v>243</v>
      </c>
      <c r="Q17" s="120"/>
      <c r="W17" s="175"/>
      <c r="X17" s="118" t="s">
        <v>51</v>
      </c>
      <c r="Y17" s="118" t="s">
        <v>22</v>
      </c>
      <c r="Z17" s="136" t="e">
        <f t="shared" si="2"/>
        <v>#REF!</v>
      </c>
      <c r="AA17" s="148" t="e">
        <f>#REF!</f>
        <v>#REF!</v>
      </c>
      <c r="AB17" s="149" t="e">
        <f t="shared" si="0"/>
        <v>#REF!</v>
      </c>
    </row>
    <row r="18" spans="2:28" ht="32.25" customHeight="1">
      <c r="B18" s="185" t="s">
        <v>81</v>
      </c>
      <c r="C18" s="505" t="s">
        <v>87</v>
      </c>
      <c r="D18" s="111" t="s">
        <v>88</v>
      </c>
      <c r="E18" s="133" t="e">
        <f>#REF!*#REF!</f>
        <v>#REF!</v>
      </c>
      <c r="F18" s="133" t="e">
        <f>#REF!*#REF!</f>
        <v>#REF!</v>
      </c>
      <c r="G18" s="133" t="e">
        <f>#REF!*#REF!</f>
        <v>#REF!</v>
      </c>
      <c r="H18" s="133" t="e">
        <f>#REF!*#REF!</f>
        <v>#REF!</v>
      </c>
      <c r="I18" s="133" t="e">
        <f>#REF!*#REF!</f>
        <v>#REF!</v>
      </c>
      <c r="J18" s="134" t="e">
        <f>SUM(E18:I18)</f>
        <v>#REF!</v>
      </c>
      <c r="K18" s="497">
        <v>819210</v>
      </c>
      <c r="L18" s="508" t="e">
        <f>((J18+J19)-K18)/K18</f>
        <v>#REF!</v>
      </c>
      <c r="M18" s="186">
        <v>1257876</v>
      </c>
      <c r="N18" s="152" t="e">
        <f>(SUM(J18:J22)-M18)/M18</f>
        <v>#REF!</v>
      </c>
      <c r="O18" s="499" t="s">
        <v>147</v>
      </c>
      <c r="P18" s="500"/>
      <c r="Q18" s="503"/>
      <c r="W18" s="185" t="s">
        <v>81</v>
      </c>
      <c r="X18" s="505" t="s">
        <v>87</v>
      </c>
      <c r="Y18" s="111" t="s">
        <v>88</v>
      </c>
      <c r="Z18" s="134" t="e">
        <f t="shared" si="2"/>
        <v>#REF!</v>
      </c>
      <c r="AA18" s="146" t="e">
        <f>#REF!</f>
        <v>#REF!</v>
      </c>
      <c r="AB18" s="149" t="e">
        <f t="shared" si="0"/>
        <v>#REF!</v>
      </c>
    </row>
    <row r="19" spans="2:28" ht="34.5" customHeight="1">
      <c r="B19" s="185"/>
      <c r="C19" s="505"/>
      <c r="D19" s="111" t="s">
        <v>89</v>
      </c>
      <c r="E19" s="133" t="e">
        <f>#REF!*#REF!</f>
        <v>#REF!</v>
      </c>
      <c r="F19" s="133" t="e">
        <f>#REF!*#REF!</f>
        <v>#REF!</v>
      </c>
      <c r="G19" s="133" t="e">
        <f>#REF!*#REF!</f>
        <v>#REF!</v>
      </c>
      <c r="H19" s="133" t="e">
        <f>#REF!*#REF!</f>
        <v>#REF!</v>
      </c>
      <c r="I19" s="133" t="e">
        <f>#REF!*#REF!</f>
        <v>#REF!</v>
      </c>
      <c r="J19" s="134" t="e">
        <f>SUM(E19:I19)</f>
        <v>#REF!</v>
      </c>
      <c r="K19" s="497"/>
      <c r="L19" s="508"/>
      <c r="M19" s="509"/>
      <c r="N19" s="504"/>
      <c r="O19" s="499"/>
      <c r="P19" s="502"/>
      <c r="Q19" s="503"/>
      <c r="W19" s="185"/>
      <c r="X19" s="505"/>
      <c r="Y19" s="111" t="s">
        <v>89</v>
      </c>
      <c r="Z19" s="134" t="e">
        <f t="shared" si="2"/>
        <v>#REF!</v>
      </c>
      <c r="AA19" s="146" t="e">
        <f>#REF!</f>
        <v>#REF!</v>
      </c>
      <c r="AB19" s="149" t="e">
        <f t="shared" si="0"/>
        <v>#REF!</v>
      </c>
    </row>
    <row r="20" spans="2:28" ht="38.25">
      <c r="B20" s="185"/>
      <c r="C20" s="111" t="s">
        <v>90</v>
      </c>
      <c r="D20" s="111" t="s">
        <v>91</v>
      </c>
      <c r="E20" s="133" t="e">
        <f>#REF!*#REF!</f>
        <v>#REF!</v>
      </c>
      <c r="F20" s="133" t="e">
        <f>#REF!*#REF!</f>
        <v>#REF!</v>
      </c>
      <c r="G20" s="133" t="e">
        <f>#REF!*#REF!</f>
        <v>#REF!</v>
      </c>
      <c r="H20" s="133" t="e">
        <f>#REF!*#REF!</f>
        <v>#REF!</v>
      </c>
      <c r="I20" s="133" t="e">
        <f>#REF!*#REF!</f>
        <v>#REF!</v>
      </c>
      <c r="J20" s="134" t="e">
        <f t="shared" si="3"/>
        <v>#REF!</v>
      </c>
      <c r="K20" s="497">
        <v>468000</v>
      </c>
      <c r="L20" s="498" t="e">
        <f>(SUM(J20:J22)-K20)/K20</f>
        <v>#REF!</v>
      </c>
      <c r="M20" s="509"/>
      <c r="N20" s="504"/>
      <c r="O20" s="499" t="s">
        <v>148</v>
      </c>
      <c r="P20" s="500"/>
      <c r="Q20" s="503"/>
      <c r="W20" s="185"/>
      <c r="X20" s="111" t="s">
        <v>90</v>
      </c>
      <c r="Y20" s="111" t="s">
        <v>91</v>
      </c>
      <c r="Z20" s="134" t="e">
        <f t="shared" si="2"/>
        <v>#REF!</v>
      </c>
      <c r="AA20" s="146" t="e">
        <f>#REF!</f>
        <v>#REF!</v>
      </c>
      <c r="AB20" s="149" t="e">
        <f t="shared" si="0"/>
        <v>#REF!</v>
      </c>
    </row>
    <row r="21" spans="2:28" ht="16.5" customHeight="1">
      <c r="B21" s="185"/>
      <c r="C21" s="111" t="s">
        <v>92</v>
      </c>
      <c r="D21" s="111" t="s">
        <v>93</v>
      </c>
      <c r="E21" s="133" t="e">
        <f>#REF!*#REF!</f>
        <v>#REF!</v>
      </c>
      <c r="F21" s="133" t="e">
        <f>#REF!*#REF!</f>
        <v>#REF!</v>
      </c>
      <c r="G21" s="133" t="e">
        <f>#REF!*#REF!</f>
        <v>#REF!</v>
      </c>
      <c r="H21" s="133" t="e">
        <f>#REF!*#REF!</f>
        <v>#REF!</v>
      </c>
      <c r="I21" s="133" t="e">
        <f>#REF!*#REF!</f>
        <v>#REF!</v>
      </c>
      <c r="J21" s="134" t="e">
        <f t="shared" si="3"/>
        <v>#REF!</v>
      </c>
      <c r="K21" s="497"/>
      <c r="L21" s="498"/>
      <c r="M21" s="509"/>
      <c r="N21" s="504"/>
      <c r="O21" s="499"/>
      <c r="P21" s="501"/>
      <c r="Q21" s="503"/>
      <c r="W21" s="185"/>
      <c r="X21" s="111" t="s">
        <v>92</v>
      </c>
      <c r="Y21" s="111" t="s">
        <v>93</v>
      </c>
      <c r="Z21" s="134" t="e">
        <f t="shared" si="2"/>
        <v>#REF!</v>
      </c>
      <c r="AA21" s="146" t="e">
        <f>#REF!</f>
        <v>#REF!</v>
      </c>
      <c r="AB21" s="149" t="e">
        <f t="shared" si="0"/>
        <v>#REF!</v>
      </c>
    </row>
    <row r="22" spans="2:28" ht="38.25">
      <c r="B22" s="185"/>
      <c r="C22" s="111" t="s">
        <v>94</v>
      </c>
      <c r="D22" s="111" t="s">
        <v>93</v>
      </c>
      <c r="E22" s="133" t="e">
        <f>#REF!*#REF!</f>
        <v>#REF!</v>
      </c>
      <c r="F22" s="133" t="e">
        <f>#REF!*#REF!</f>
        <v>#REF!</v>
      </c>
      <c r="G22" s="133" t="e">
        <f>#REF!*#REF!</f>
        <v>#REF!</v>
      </c>
      <c r="H22" s="133" t="e">
        <f>#REF!*#REF!</f>
        <v>#REF!</v>
      </c>
      <c r="I22" s="133" t="e">
        <f>#REF!*#REF!</f>
        <v>#REF!</v>
      </c>
      <c r="J22" s="134" t="e">
        <f t="shared" si="3"/>
        <v>#REF!</v>
      </c>
      <c r="K22" s="497"/>
      <c r="L22" s="498"/>
      <c r="M22" s="187"/>
      <c r="N22" s="153"/>
      <c r="O22" s="499"/>
      <c r="P22" s="502"/>
      <c r="Q22" s="503"/>
      <c r="W22" s="185"/>
      <c r="X22" s="111" t="s">
        <v>94</v>
      </c>
      <c r="Y22" s="111" t="s">
        <v>93</v>
      </c>
      <c r="Z22" s="134" t="e">
        <f t="shared" si="2"/>
        <v>#REF!</v>
      </c>
      <c r="AA22" s="146" t="e">
        <f>#REF!</f>
        <v>#REF!</v>
      </c>
      <c r="AB22" s="149" t="e">
        <f t="shared" si="0"/>
        <v>#REF!</v>
      </c>
    </row>
    <row r="23" spans="2:28" ht="40.5" customHeight="1">
      <c r="B23" s="175" t="s">
        <v>82</v>
      </c>
      <c r="C23" s="60" t="s">
        <v>110</v>
      </c>
      <c r="D23" s="118" t="s">
        <v>34</v>
      </c>
      <c r="E23" s="135" t="e">
        <f>#REF!*12</f>
        <v>#REF!</v>
      </c>
      <c r="F23" s="135" t="e">
        <f>#REF!*12</f>
        <v>#REF!</v>
      </c>
      <c r="G23" s="135" t="e">
        <f>#REF!*12</f>
        <v>#REF!</v>
      </c>
      <c r="H23" s="135" t="e">
        <f>#REF!*12</f>
        <v>#REF!</v>
      </c>
      <c r="I23" s="135" t="e">
        <f>#REF!*12</f>
        <v>#REF!</v>
      </c>
      <c r="J23" s="136" t="e">
        <f t="shared" si="3"/>
        <v>#REF!</v>
      </c>
      <c r="K23" s="137">
        <v>1497853.2000000002</v>
      </c>
      <c r="L23" s="141" t="e">
        <f>(J23-K23)/K23</f>
        <v>#REF!</v>
      </c>
      <c r="M23" s="180">
        <v>1497853</v>
      </c>
      <c r="N23" s="123" t="e">
        <f>(SUM(J23:J25)-M23)/M23</f>
        <v>#REF!</v>
      </c>
      <c r="O23" s="119" t="s">
        <v>145</v>
      </c>
      <c r="P23" s="120"/>
      <c r="Q23" s="120"/>
      <c r="W23" s="175" t="s">
        <v>82</v>
      </c>
      <c r="X23" s="60" t="s">
        <v>110</v>
      </c>
      <c r="Y23" s="118" t="s">
        <v>34</v>
      </c>
      <c r="Z23" s="136" t="e">
        <f t="shared" si="2"/>
        <v>#REF!</v>
      </c>
      <c r="AA23" s="148" t="e">
        <f>#REF!</f>
        <v>#REF!</v>
      </c>
      <c r="AB23" s="149" t="e">
        <f t="shared" si="0"/>
        <v>#REF!</v>
      </c>
    </row>
    <row r="24" spans="2:28" ht="40.5" customHeight="1">
      <c r="B24" s="175"/>
      <c r="C24" s="60" t="s">
        <v>26</v>
      </c>
      <c r="D24" s="118" t="s">
        <v>105</v>
      </c>
      <c r="E24" s="135" t="e">
        <f>#REF!*#REF!</f>
        <v>#REF!</v>
      </c>
      <c r="F24" s="135" t="e">
        <f>#REF!*#REF!</f>
        <v>#REF!</v>
      </c>
      <c r="G24" s="135" t="e">
        <f>#REF!*#REF!</f>
        <v>#REF!</v>
      </c>
      <c r="H24" s="135" t="e">
        <f>#REF!*#REF!</f>
        <v>#REF!</v>
      </c>
      <c r="I24" s="135" t="e">
        <f>#REF!*#REF!</f>
        <v>#REF!</v>
      </c>
      <c r="J24" s="136" t="e">
        <f>SUM(E24:I24)</f>
        <v>#REF!</v>
      </c>
      <c r="K24" s="137">
        <v>1860328.7999999998</v>
      </c>
      <c r="L24" s="141" t="e">
        <f>(J24-K24)/K24</f>
        <v>#REF!</v>
      </c>
      <c r="M24" s="181"/>
      <c r="N24" s="495"/>
      <c r="O24" s="119" t="s">
        <v>155</v>
      </c>
      <c r="P24" s="120" t="s">
        <v>154</v>
      </c>
      <c r="Q24" s="120"/>
      <c r="W24" s="175"/>
      <c r="X24" s="60" t="s">
        <v>26</v>
      </c>
      <c r="Y24" s="118" t="s">
        <v>105</v>
      </c>
      <c r="Z24" s="136" t="e">
        <f t="shared" si="2"/>
        <v>#REF!</v>
      </c>
      <c r="AA24" s="148" t="e">
        <f>#REF!+#REF!</f>
        <v>#REF!</v>
      </c>
      <c r="AB24" s="149" t="e">
        <f t="shared" si="0"/>
        <v>#REF!</v>
      </c>
    </row>
    <row r="25" spans="2:28" ht="43.5" customHeight="1">
      <c r="B25" s="175"/>
      <c r="C25" s="60" t="s">
        <v>109</v>
      </c>
      <c r="D25" s="118" t="s">
        <v>30</v>
      </c>
      <c r="E25" s="135" t="e">
        <f>#REF!*#REF!</f>
        <v>#REF!</v>
      </c>
      <c r="F25" s="135" t="e">
        <f>#REF!*#REF!</f>
        <v>#REF!</v>
      </c>
      <c r="G25" s="135" t="e">
        <f>#REF!*#REF!</f>
        <v>#REF!</v>
      </c>
      <c r="H25" s="135" t="e">
        <f>#REF!*#REF!</f>
        <v>#REF!</v>
      </c>
      <c r="I25" s="135" t="e">
        <f>#REF!*#REF!</f>
        <v>#REF!</v>
      </c>
      <c r="J25" s="136" t="e">
        <f>SUM(E25:I25)</f>
        <v>#REF!</v>
      </c>
      <c r="K25" s="129" t="s">
        <v>220</v>
      </c>
      <c r="L25" s="142" t="s">
        <v>221</v>
      </c>
      <c r="M25" s="182"/>
      <c r="N25" s="496"/>
      <c r="O25" s="119" t="s">
        <v>157</v>
      </c>
      <c r="P25" s="120" t="s">
        <v>156</v>
      </c>
      <c r="Q25" s="120"/>
      <c r="W25" s="175"/>
      <c r="X25" s="60" t="s">
        <v>109</v>
      </c>
      <c r="Y25" s="118" t="s">
        <v>30</v>
      </c>
      <c r="Z25" s="136" t="e">
        <f t="shared" si="2"/>
        <v>#REF!</v>
      </c>
      <c r="AA25" s="148" t="e">
        <f>#REF!</f>
        <v>#REF!</v>
      </c>
      <c r="AB25" s="149" t="e">
        <f t="shared" si="0"/>
        <v>#REF!</v>
      </c>
    </row>
    <row r="26" spans="2:28" ht="174.75" customHeight="1">
      <c r="B26" s="125" t="s">
        <v>83</v>
      </c>
      <c r="C26" s="109" t="s">
        <v>27</v>
      </c>
      <c r="D26" s="109" t="s">
        <v>28</v>
      </c>
      <c r="E26" s="133" t="e">
        <f>#REF!</f>
        <v>#REF!</v>
      </c>
      <c r="F26" s="133" t="e">
        <f>#REF!</f>
        <v>#REF!</v>
      </c>
      <c r="G26" s="133" t="e">
        <f>#REF!</f>
        <v>#REF!</v>
      </c>
      <c r="H26" s="133" t="e">
        <f>#REF!</f>
        <v>#REF!</v>
      </c>
      <c r="I26" s="133" t="e">
        <f>#REF!</f>
        <v>#REF!</v>
      </c>
      <c r="J26" s="134" t="e">
        <f aca="true" t="shared" si="4" ref="J26:J41">SUM(E26:I26)</f>
        <v>#REF!</v>
      </c>
      <c r="K26" s="138">
        <v>9045000</v>
      </c>
      <c r="L26" s="143" t="e">
        <f>(J26-K26)/K26</f>
        <v>#REF!</v>
      </c>
      <c r="M26" s="156">
        <v>7386750</v>
      </c>
      <c r="N26" s="159" t="e">
        <f>(J26-M26)/M26</f>
        <v>#REF!</v>
      </c>
      <c r="O26" s="110" t="s">
        <v>229</v>
      </c>
      <c r="P26" s="112"/>
      <c r="Q26" s="112"/>
      <c r="W26" s="125" t="s">
        <v>83</v>
      </c>
      <c r="X26" s="109" t="s">
        <v>27</v>
      </c>
      <c r="Y26" s="109" t="s">
        <v>28</v>
      </c>
      <c r="Z26" s="134" t="e">
        <f t="shared" si="2"/>
        <v>#REF!</v>
      </c>
      <c r="AA26" s="146" t="e">
        <f>#REF!</f>
        <v>#REF!</v>
      </c>
      <c r="AB26" s="149" t="e">
        <f>Z26-AA26</f>
        <v>#REF!</v>
      </c>
    </row>
    <row r="27" spans="2:28" ht="61.5" customHeight="1">
      <c r="B27" s="126" t="s">
        <v>0</v>
      </c>
      <c r="C27" s="118" t="s">
        <v>0</v>
      </c>
      <c r="D27" s="118" t="s">
        <v>30</v>
      </c>
      <c r="E27" s="135" t="e">
        <f>#REF!*#REF!</f>
        <v>#REF!</v>
      </c>
      <c r="F27" s="135" t="e">
        <f>#REF!*#REF!</f>
        <v>#REF!</v>
      </c>
      <c r="G27" s="135" t="e">
        <f>#REF!*#REF!</f>
        <v>#REF!</v>
      </c>
      <c r="H27" s="135" t="e">
        <f>#REF!*#REF!</f>
        <v>#REF!</v>
      </c>
      <c r="I27" s="135" t="e">
        <f>#REF!*#REF!</f>
        <v>#REF!</v>
      </c>
      <c r="J27" s="136" t="e">
        <f t="shared" si="4"/>
        <v>#REF!</v>
      </c>
      <c r="K27" s="137">
        <v>1326000</v>
      </c>
      <c r="L27" s="140" t="e">
        <f>(J27-K27)/K27</f>
        <v>#REF!</v>
      </c>
      <c r="M27" s="157">
        <v>1768000</v>
      </c>
      <c r="N27" s="160" t="e">
        <f>(J27-M27)/M27</f>
        <v>#REF!</v>
      </c>
      <c r="O27" s="107" t="s">
        <v>223</v>
      </c>
      <c r="P27" s="61" t="s">
        <v>224</v>
      </c>
      <c r="Q27" s="120"/>
      <c r="W27" s="126" t="s">
        <v>0</v>
      </c>
      <c r="X27" s="118" t="s">
        <v>0</v>
      </c>
      <c r="Y27" s="118" t="s">
        <v>30</v>
      </c>
      <c r="Z27" s="136" t="e">
        <f t="shared" si="2"/>
        <v>#REF!</v>
      </c>
      <c r="AA27" s="148" t="e">
        <f>#REF!</f>
        <v>#REF!</v>
      </c>
      <c r="AB27" s="149" t="e">
        <f aca="true" t="shared" si="5" ref="AB27:AB41">Z27-AA27</f>
        <v>#REF!</v>
      </c>
    </row>
    <row r="28" spans="2:28" ht="82.5" customHeight="1">
      <c r="B28" s="185" t="s">
        <v>140</v>
      </c>
      <c r="C28" s="109" t="s">
        <v>55</v>
      </c>
      <c r="D28" s="109" t="s">
        <v>31</v>
      </c>
      <c r="E28" s="133" t="e">
        <f>#REF!*12</f>
        <v>#REF!</v>
      </c>
      <c r="F28" s="133" t="e">
        <f>#REF!*12</f>
        <v>#REF!</v>
      </c>
      <c r="G28" s="133" t="e">
        <f>#REF!*12</f>
        <v>#REF!</v>
      </c>
      <c r="H28" s="133" t="e">
        <f>#REF!*12</f>
        <v>#REF!</v>
      </c>
      <c r="I28" s="133" t="e">
        <f>#REF!*12</f>
        <v>#REF!</v>
      </c>
      <c r="J28" s="134" t="e">
        <f t="shared" si="4"/>
        <v>#REF!</v>
      </c>
      <c r="K28" s="138">
        <v>1842941.16</v>
      </c>
      <c r="L28" s="144" t="e">
        <f>(J28-K28)/K28</f>
        <v>#REF!</v>
      </c>
      <c r="M28" s="156">
        <v>2457255</v>
      </c>
      <c r="N28" s="161" t="e">
        <f>(J28-M28)/M28</f>
        <v>#REF!</v>
      </c>
      <c r="O28" s="110" t="s">
        <v>231</v>
      </c>
      <c r="P28" s="111" t="s">
        <v>249</v>
      </c>
      <c r="Q28" s="112"/>
      <c r="W28" s="185" t="s">
        <v>140</v>
      </c>
      <c r="X28" s="109" t="s">
        <v>55</v>
      </c>
      <c r="Y28" s="109" t="s">
        <v>31</v>
      </c>
      <c r="Z28" s="134" t="e">
        <f t="shared" si="2"/>
        <v>#REF!</v>
      </c>
      <c r="AA28" s="146" t="e">
        <f>#REF!</f>
        <v>#REF!</v>
      </c>
      <c r="AB28" s="149" t="e">
        <f t="shared" si="5"/>
        <v>#REF!</v>
      </c>
    </row>
    <row r="29" spans="2:28" ht="90.75" customHeight="1">
      <c r="B29" s="185"/>
      <c r="C29" s="116" t="s">
        <v>38</v>
      </c>
      <c r="D29" s="117" t="s">
        <v>30</v>
      </c>
      <c r="E29" s="133" t="e">
        <f>SUMPRODUCT(#REF!,#REF!)*12</f>
        <v>#REF!</v>
      </c>
      <c r="F29" s="133" t="e">
        <f>SUMPRODUCT(#REF!,#REF!)*12</f>
        <v>#REF!</v>
      </c>
      <c r="G29" s="133" t="e">
        <f>SUMPRODUCT(#REF!,#REF!)*12</f>
        <v>#REF!</v>
      </c>
      <c r="H29" s="133" t="e">
        <f>SUMPRODUCT(#REF!,#REF!)*12</f>
        <v>#REF!</v>
      </c>
      <c r="I29" s="133" t="e">
        <f>SUMPRODUCT(#REF!,#REF!)*12</f>
        <v>#REF!</v>
      </c>
      <c r="J29" s="134" t="e">
        <f>SUM(E29:I29)</f>
        <v>#REF!</v>
      </c>
      <c r="K29" s="138">
        <v>8165814.8500000015</v>
      </c>
      <c r="L29" s="144" t="e">
        <f>(J29-K29)/K29</f>
        <v>#REF!</v>
      </c>
      <c r="M29" s="186">
        <v>12696655</v>
      </c>
      <c r="N29" s="152" t="e">
        <f>(SUM(J29:J30)-M29)/M29</f>
        <v>#REF!</v>
      </c>
      <c r="O29" s="110" t="s">
        <v>230</v>
      </c>
      <c r="P29" s="154" t="s">
        <v>233</v>
      </c>
      <c r="Q29" s="112"/>
      <c r="W29" s="185"/>
      <c r="X29" s="116" t="s">
        <v>38</v>
      </c>
      <c r="Y29" s="117" t="s">
        <v>30</v>
      </c>
      <c r="Z29" s="134" t="e">
        <f t="shared" si="2"/>
        <v>#REF!</v>
      </c>
      <c r="AA29" s="146" t="e">
        <f>#REF!+#REF!+#REF!</f>
        <v>#REF!</v>
      </c>
      <c r="AB29" s="149" t="e">
        <f t="shared" si="5"/>
        <v>#REF!</v>
      </c>
    </row>
    <row r="30" spans="2:28" ht="84" customHeight="1">
      <c r="B30" s="185"/>
      <c r="C30" s="116" t="s">
        <v>39</v>
      </c>
      <c r="D30" s="117" t="s">
        <v>30</v>
      </c>
      <c r="E30" s="133" t="e">
        <f>#REF!*#REF!*12</f>
        <v>#REF!</v>
      </c>
      <c r="F30" s="133" t="e">
        <f>#REF!*#REF!*12</f>
        <v>#REF!</v>
      </c>
      <c r="G30" s="133" t="e">
        <f>#REF!*#REF!*12</f>
        <v>#REF!</v>
      </c>
      <c r="H30" s="133" t="e">
        <f>#REF!*#REF!*12</f>
        <v>#REF!</v>
      </c>
      <c r="I30" s="133" t="e">
        <f>#REF!*#REF!*12</f>
        <v>#REF!</v>
      </c>
      <c r="J30" s="134" t="e">
        <f>SUM(E30:I30)</f>
        <v>#REF!</v>
      </c>
      <c r="K30" s="138">
        <v>1840430.5920000002</v>
      </c>
      <c r="L30" s="144" t="e">
        <f>(J30-K30)/K30</f>
        <v>#REF!</v>
      </c>
      <c r="M30" s="187"/>
      <c r="N30" s="153"/>
      <c r="O30" s="110" t="s">
        <v>232</v>
      </c>
      <c r="P30" s="155"/>
      <c r="Q30" s="112"/>
      <c r="W30" s="185"/>
      <c r="X30" s="116" t="s">
        <v>39</v>
      </c>
      <c r="Y30" s="117" t="s">
        <v>30</v>
      </c>
      <c r="Z30" s="134" t="e">
        <f t="shared" si="2"/>
        <v>#REF!</v>
      </c>
      <c r="AA30" s="146" t="e">
        <f>#REF!+#REF!</f>
        <v>#REF!</v>
      </c>
      <c r="AB30" s="149" t="e">
        <f t="shared" si="5"/>
        <v>#REF!</v>
      </c>
    </row>
    <row r="31" spans="2:28" ht="43.5" customHeight="1">
      <c r="B31" s="185"/>
      <c r="C31" s="116" t="s">
        <v>127</v>
      </c>
      <c r="D31" s="117" t="s">
        <v>30</v>
      </c>
      <c r="E31" s="133" t="e">
        <f>#REF!*#REF!</f>
        <v>#REF!</v>
      </c>
      <c r="F31" s="133" t="e">
        <f>#REF!*#REF!</f>
        <v>#REF!</v>
      </c>
      <c r="G31" s="133" t="e">
        <f>#REF!*#REF!</f>
        <v>#REF!</v>
      </c>
      <c r="H31" s="133" t="e">
        <f>#REF!*#REF!</f>
        <v>#REF!</v>
      </c>
      <c r="I31" s="133" t="e">
        <f>#REF!*#REF!</f>
        <v>#REF!</v>
      </c>
      <c r="J31" s="134" t="e">
        <f>SUM(E31:I31)</f>
        <v>#REF!</v>
      </c>
      <c r="K31" s="129" t="s">
        <v>220</v>
      </c>
      <c r="L31" s="142" t="s">
        <v>221</v>
      </c>
      <c r="M31" s="158"/>
      <c r="N31" s="151"/>
      <c r="O31" s="115" t="s">
        <v>146</v>
      </c>
      <c r="P31" s="112"/>
      <c r="Q31" s="112"/>
      <c r="W31" s="185"/>
      <c r="X31" s="116" t="s">
        <v>127</v>
      </c>
      <c r="Y31" s="117" t="s">
        <v>30</v>
      </c>
      <c r="Z31" s="134" t="e">
        <f t="shared" si="2"/>
        <v>#REF!</v>
      </c>
      <c r="AA31" s="146" t="e">
        <f>#REF!</f>
        <v>#REF!</v>
      </c>
      <c r="AB31" s="149" t="e">
        <f t="shared" si="5"/>
        <v>#REF!</v>
      </c>
    </row>
    <row r="32" spans="2:28" ht="114.75">
      <c r="B32" s="173" t="s">
        <v>61</v>
      </c>
      <c r="C32" s="116" t="s">
        <v>60</v>
      </c>
      <c r="D32" s="117" t="s">
        <v>30</v>
      </c>
      <c r="E32" s="133" t="e">
        <f>#REF!*#REF!*12</f>
        <v>#REF!</v>
      </c>
      <c r="F32" s="133" t="e">
        <f>#REF!*#REF!*12</f>
        <v>#REF!</v>
      </c>
      <c r="G32" s="133" t="e">
        <f>#REF!*#REF!*12</f>
        <v>#REF!</v>
      </c>
      <c r="H32" s="133" t="e">
        <f>#REF!*#REF!*12</f>
        <v>#REF!</v>
      </c>
      <c r="I32" s="133" t="e">
        <f>#REF!*#REF!*12</f>
        <v>#REF!</v>
      </c>
      <c r="J32" s="134" t="e">
        <f>SUM(E32:I32)</f>
        <v>#REF!</v>
      </c>
      <c r="K32" s="138">
        <v>2054736</v>
      </c>
      <c r="L32" s="144" t="e">
        <f>(J32-K32)/K32</f>
        <v>#REF!</v>
      </c>
      <c r="M32" s="156">
        <v>2739800</v>
      </c>
      <c r="N32" s="161" t="e">
        <f>(J32-M32)/M32</f>
        <v>#REF!</v>
      </c>
      <c r="O32" s="110" t="s">
        <v>239</v>
      </c>
      <c r="P32" s="110" t="s">
        <v>240</v>
      </c>
      <c r="Q32" s="112"/>
      <c r="W32" s="173" t="s">
        <v>61</v>
      </c>
      <c r="X32" s="116" t="s">
        <v>60</v>
      </c>
      <c r="Y32" s="117" t="s">
        <v>30</v>
      </c>
      <c r="Z32" s="134" t="e">
        <f t="shared" si="2"/>
        <v>#REF!</v>
      </c>
      <c r="AA32" s="146" t="e">
        <f>#REF!</f>
        <v>#REF!</v>
      </c>
      <c r="AB32" s="149" t="e">
        <f t="shared" si="5"/>
        <v>#REF!</v>
      </c>
    </row>
    <row r="33" spans="2:28" ht="51.75" customHeight="1">
      <c r="B33" s="174"/>
      <c r="C33" s="116" t="s">
        <v>175</v>
      </c>
      <c r="D33" s="117" t="s">
        <v>30</v>
      </c>
      <c r="E33" s="133" t="e">
        <f>#REF!*#REF!</f>
        <v>#REF!</v>
      </c>
      <c r="F33" s="133" t="e">
        <f>#REF!*#REF!</f>
        <v>#REF!</v>
      </c>
      <c r="G33" s="133" t="e">
        <f>#REF!*#REF!</f>
        <v>#REF!</v>
      </c>
      <c r="H33" s="133" t="e">
        <f>#REF!*#REF!</f>
        <v>#REF!</v>
      </c>
      <c r="I33" s="133" t="e">
        <f>#REF!*#REF!</f>
        <v>#REF!</v>
      </c>
      <c r="J33" s="134" t="e">
        <f>SUM(E33:I33)</f>
        <v>#REF!</v>
      </c>
      <c r="K33" s="129" t="s">
        <v>220</v>
      </c>
      <c r="L33" s="142" t="s">
        <v>221</v>
      </c>
      <c r="M33" s="158"/>
      <c r="N33" s="151"/>
      <c r="O33" s="110" t="s">
        <v>234</v>
      </c>
      <c r="P33" s="112"/>
      <c r="Q33" s="112"/>
      <c r="W33" s="174"/>
      <c r="X33" s="116" t="s">
        <v>175</v>
      </c>
      <c r="Y33" s="117" t="s">
        <v>30</v>
      </c>
      <c r="Z33" s="134" t="e">
        <f t="shared" si="2"/>
        <v>#REF!</v>
      </c>
      <c r="AA33" s="146" t="e">
        <f>#REF!</f>
        <v>#REF!</v>
      </c>
      <c r="AB33" s="149" t="e">
        <f t="shared" si="5"/>
        <v>#REF!</v>
      </c>
    </row>
    <row r="34" spans="2:28" ht="54" customHeight="1">
      <c r="B34" s="175" t="s">
        <v>33</v>
      </c>
      <c r="C34" s="121" t="s">
        <v>102</v>
      </c>
      <c r="D34" s="118" t="s">
        <v>34</v>
      </c>
      <c r="E34" s="135" t="e">
        <f>#REF!*12</f>
        <v>#REF!</v>
      </c>
      <c r="F34" s="135" t="e">
        <f>#REF!*12</f>
        <v>#REF!</v>
      </c>
      <c r="G34" s="135" t="e">
        <f>#REF!*12</f>
        <v>#REF!</v>
      </c>
      <c r="H34" s="135" t="e">
        <f>#REF!*12</f>
        <v>#REF!</v>
      </c>
      <c r="I34" s="135" t="e">
        <f>#REF!*12</f>
        <v>#REF!</v>
      </c>
      <c r="J34" s="136" t="e">
        <f t="shared" si="4"/>
        <v>#REF!</v>
      </c>
      <c r="K34" s="137">
        <v>2336400</v>
      </c>
      <c r="L34" s="141" t="e">
        <f>(J34-K34)/K34</f>
        <v>#REF!</v>
      </c>
      <c r="M34" s="157">
        <v>2336400</v>
      </c>
      <c r="N34" s="160" t="e">
        <f>(J34-M34)/M34</f>
        <v>#REF!</v>
      </c>
      <c r="O34" s="107" t="s">
        <v>236</v>
      </c>
      <c r="P34" s="120"/>
      <c r="Q34" s="120"/>
      <c r="W34" s="175" t="s">
        <v>33</v>
      </c>
      <c r="X34" s="121" t="s">
        <v>102</v>
      </c>
      <c r="Y34" s="118" t="s">
        <v>34</v>
      </c>
      <c r="Z34" s="136" t="e">
        <f t="shared" si="2"/>
        <v>#REF!</v>
      </c>
      <c r="AA34" s="148" t="e">
        <f>#REF!</f>
        <v>#REF!</v>
      </c>
      <c r="AB34" s="149" t="e">
        <f t="shared" si="5"/>
        <v>#REF!</v>
      </c>
    </row>
    <row r="35" spans="2:28" ht="45" customHeight="1">
      <c r="B35" s="175"/>
      <c r="C35" s="121" t="s">
        <v>103</v>
      </c>
      <c r="D35" s="122" t="s">
        <v>30</v>
      </c>
      <c r="E35" s="135" t="e">
        <f>#REF!*#REF!</f>
        <v>#REF!</v>
      </c>
      <c r="F35" s="135" t="e">
        <f>#REF!*#REF!</f>
        <v>#REF!</v>
      </c>
      <c r="G35" s="135" t="e">
        <f>#REF!*#REF!</f>
        <v>#REF!</v>
      </c>
      <c r="H35" s="135" t="e">
        <f>#REF!*#REF!</f>
        <v>#REF!</v>
      </c>
      <c r="I35" s="135" t="e">
        <f>#REF!*#REF!</f>
        <v>#REF!</v>
      </c>
      <c r="J35" s="136" t="e">
        <f>SUM(E35:I35)</f>
        <v>#REF!</v>
      </c>
      <c r="K35" s="129" t="s">
        <v>220</v>
      </c>
      <c r="L35" s="142" t="s">
        <v>221</v>
      </c>
      <c r="M35" s="158"/>
      <c r="N35" s="151"/>
      <c r="O35" s="119"/>
      <c r="P35" s="120"/>
      <c r="Q35" s="120"/>
      <c r="W35" s="175"/>
      <c r="X35" s="121" t="s">
        <v>103</v>
      </c>
      <c r="Y35" s="122" t="s">
        <v>30</v>
      </c>
      <c r="Z35" s="136" t="e">
        <f t="shared" si="2"/>
        <v>#REF!</v>
      </c>
      <c r="AA35" s="148" t="e">
        <f>#REF!</f>
        <v>#REF!</v>
      </c>
      <c r="AB35" s="149" t="e">
        <f t="shared" si="5"/>
        <v>#REF!</v>
      </c>
    </row>
    <row r="36" spans="2:28" ht="56.25" customHeight="1">
      <c r="B36" s="175"/>
      <c r="C36" s="121" t="s">
        <v>104</v>
      </c>
      <c r="D36" s="122" t="s">
        <v>31</v>
      </c>
      <c r="E36" s="135" t="e">
        <f>#REF!*12</f>
        <v>#REF!</v>
      </c>
      <c r="F36" s="135" t="e">
        <f>E36</f>
        <v>#REF!</v>
      </c>
      <c r="G36" s="135" t="e">
        <f>F36</f>
        <v>#REF!</v>
      </c>
      <c r="H36" s="135" t="e">
        <f>G36</f>
        <v>#REF!</v>
      </c>
      <c r="I36" s="135" t="e">
        <f>H36</f>
        <v>#REF!</v>
      </c>
      <c r="J36" s="136" t="e">
        <f>SUM(E36:I36)</f>
        <v>#REF!</v>
      </c>
      <c r="K36" s="137">
        <v>150000</v>
      </c>
      <c r="L36" s="141" t="e">
        <f>(J36-K36)/K36</f>
        <v>#REF!</v>
      </c>
      <c r="M36" s="157">
        <v>150000</v>
      </c>
      <c r="N36" s="160" t="e">
        <f>(J36-M36)/M36</f>
        <v>#REF!</v>
      </c>
      <c r="O36" s="107" t="s">
        <v>235</v>
      </c>
      <c r="P36" s="120"/>
      <c r="Q36" s="120"/>
      <c r="W36" s="175"/>
      <c r="X36" s="121" t="s">
        <v>104</v>
      </c>
      <c r="Y36" s="122" t="s">
        <v>31</v>
      </c>
      <c r="Z36" s="136" t="e">
        <f t="shared" si="2"/>
        <v>#REF!</v>
      </c>
      <c r="AA36" s="148" t="e">
        <f>#REF!</f>
        <v>#REF!</v>
      </c>
      <c r="AB36" s="149" t="e">
        <f t="shared" si="5"/>
        <v>#REF!</v>
      </c>
    </row>
    <row r="37" spans="2:28" ht="104.25" customHeight="1">
      <c r="B37" s="127" t="s">
        <v>84</v>
      </c>
      <c r="C37" s="116" t="s">
        <v>36</v>
      </c>
      <c r="D37" s="109" t="s">
        <v>35</v>
      </c>
      <c r="E37" s="133" t="e">
        <f>#REF!*#REF!</f>
        <v>#REF!</v>
      </c>
      <c r="F37" s="133" t="e">
        <f>#REF!*#REF!</f>
        <v>#REF!</v>
      </c>
      <c r="G37" s="133" t="e">
        <f>#REF!*#REF!</f>
        <v>#REF!</v>
      </c>
      <c r="H37" s="133" t="e">
        <f>#REF!*#REF!</f>
        <v>#REF!</v>
      </c>
      <c r="I37" s="133" t="e">
        <f>#REF!*#REF!</f>
        <v>#REF!</v>
      </c>
      <c r="J37" s="134" t="e">
        <f t="shared" si="4"/>
        <v>#REF!</v>
      </c>
      <c r="K37" s="138">
        <v>64530</v>
      </c>
      <c r="L37" s="144" t="e">
        <f>(J37-K37)/K37</f>
        <v>#REF!</v>
      </c>
      <c r="M37" s="156">
        <v>64530</v>
      </c>
      <c r="N37" s="161" t="e">
        <f>(J37-M37)/M37</f>
        <v>#REF!</v>
      </c>
      <c r="O37" s="110" t="s">
        <v>237</v>
      </c>
      <c r="P37" s="112"/>
      <c r="Q37" s="112"/>
      <c r="W37" s="127" t="s">
        <v>84</v>
      </c>
      <c r="X37" s="116" t="s">
        <v>36</v>
      </c>
      <c r="Y37" s="109" t="s">
        <v>35</v>
      </c>
      <c r="Z37" s="134" t="e">
        <f t="shared" si="2"/>
        <v>#REF!</v>
      </c>
      <c r="AA37" s="146" t="e">
        <f>#REF!</f>
        <v>#REF!</v>
      </c>
      <c r="AB37" s="149" t="e">
        <f t="shared" si="5"/>
        <v>#REF!</v>
      </c>
    </row>
    <row r="38" spans="2:28" ht="25.5" customHeight="1">
      <c r="B38" s="172" t="s">
        <v>40</v>
      </c>
      <c r="C38" s="124" t="s">
        <v>169</v>
      </c>
      <c r="D38" s="122" t="s">
        <v>30</v>
      </c>
      <c r="E38" s="135" t="e">
        <f>#REF!*#REF!</f>
        <v>#REF!</v>
      </c>
      <c r="F38" s="135" t="e">
        <f>#REF!*#REF!</f>
        <v>#REF!</v>
      </c>
      <c r="G38" s="135" t="e">
        <f>#REF!*#REF!</f>
        <v>#REF!</v>
      </c>
      <c r="H38" s="135" t="e">
        <f>#REF!*#REF!</f>
        <v>#REF!</v>
      </c>
      <c r="I38" s="135" t="e">
        <f>#REF!*#REF!</f>
        <v>#REF!</v>
      </c>
      <c r="J38" s="136" t="e">
        <f t="shared" si="4"/>
        <v>#REF!</v>
      </c>
      <c r="K38" s="176">
        <v>360000</v>
      </c>
      <c r="L38" s="179" t="e">
        <f>(SUM(J38:J41)-K38)/K38</f>
        <v>#REF!</v>
      </c>
      <c r="M38" s="180">
        <v>498600</v>
      </c>
      <c r="N38" s="183" t="e">
        <f>(SUM(J38:J41)-M38)/M38</f>
        <v>#REF!</v>
      </c>
      <c r="O38" s="184" t="s">
        <v>143</v>
      </c>
      <c r="P38" s="170" t="s">
        <v>173</v>
      </c>
      <c r="Q38" s="171"/>
      <c r="W38" s="172" t="s">
        <v>40</v>
      </c>
      <c r="X38" s="124" t="s">
        <v>169</v>
      </c>
      <c r="Y38" s="122" t="s">
        <v>30</v>
      </c>
      <c r="Z38" s="136" t="e">
        <f t="shared" si="2"/>
        <v>#REF!</v>
      </c>
      <c r="AA38" s="148" t="e">
        <f>#REF!</f>
        <v>#REF!</v>
      </c>
      <c r="AB38" s="149" t="e">
        <f t="shared" si="5"/>
        <v>#REF!</v>
      </c>
    </row>
    <row r="39" spans="2:28" ht="24" customHeight="1">
      <c r="B39" s="172"/>
      <c r="C39" s="124" t="s">
        <v>170</v>
      </c>
      <c r="D39" s="122" t="s">
        <v>30</v>
      </c>
      <c r="E39" s="135" t="e">
        <f>#REF!*#REF!</f>
        <v>#REF!</v>
      </c>
      <c r="F39" s="135" t="e">
        <f>#REF!*#REF!</f>
        <v>#REF!</v>
      </c>
      <c r="G39" s="135" t="e">
        <f>#REF!*#REF!</f>
        <v>#REF!</v>
      </c>
      <c r="H39" s="135" t="e">
        <f>#REF!*#REF!</f>
        <v>#REF!</v>
      </c>
      <c r="I39" s="135" t="e">
        <f>#REF!*#REF!</f>
        <v>#REF!</v>
      </c>
      <c r="J39" s="136" t="e">
        <f t="shared" si="4"/>
        <v>#REF!</v>
      </c>
      <c r="K39" s="177"/>
      <c r="L39" s="179"/>
      <c r="M39" s="181"/>
      <c r="N39" s="181"/>
      <c r="O39" s="184"/>
      <c r="P39" s="170"/>
      <c r="Q39" s="171"/>
      <c r="W39" s="172"/>
      <c r="X39" s="124" t="s">
        <v>170</v>
      </c>
      <c r="Y39" s="122" t="s">
        <v>30</v>
      </c>
      <c r="Z39" s="136" t="e">
        <f t="shared" si="2"/>
        <v>#REF!</v>
      </c>
      <c r="AA39" s="148" t="e">
        <f>#REF!</f>
        <v>#REF!</v>
      </c>
      <c r="AB39" s="149" t="e">
        <f t="shared" si="5"/>
        <v>#REF!</v>
      </c>
    </row>
    <row r="40" spans="2:28" ht="26.25" customHeight="1">
      <c r="B40" s="172"/>
      <c r="C40" s="124" t="s">
        <v>171</v>
      </c>
      <c r="D40" s="122" t="s">
        <v>30</v>
      </c>
      <c r="E40" s="135" t="e">
        <f>#REF!*#REF!</f>
        <v>#REF!</v>
      </c>
      <c r="F40" s="135" t="e">
        <f>#REF!*#REF!</f>
        <v>#REF!</v>
      </c>
      <c r="G40" s="135" t="e">
        <f>#REF!*#REF!</f>
        <v>#REF!</v>
      </c>
      <c r="H40" s="135" t="e">
        <f>#REF!*#REF!</f>
        <v>#REF!</v>
      </c>
      <c r="I40" s="135" t="e">
        <f>#REF!*#REF!</f>
        <v>#REF!</v>
      </c>
      <c r="J40" s="136" t="e">
        <f t="shared" si="4"/>
        <v>#REF!</v>
      </c>
      <c r="K40" s="177"/>
      <c r="L40" s="179"/>
      <c r="M40" s="181"/>
      <c r="N40" s="181"/>
      <c r="O40" s="184"/>
      <c r="P40" s="170"/>
      <c r="Q40" s="171"/>
      <c r="W40" s="172"/>
      <c r="X40" s="124" t="s">
        <v>171</v>
      </c>
      <c r="Y40" s="122" t="s">
        <v>30</v>
      </c>
      <c r="Z40" s="136" t="e">
        <f t="shared" si="2"/>
        <v>#REF!</v>
      </c>
      <c r="AA40" s="148" t="e">
        <f>#REF!</f>
        <v>#REF!</v>
      </c>
      <c r="AB40" s="149" t="e">
        <f t="shared" si="5"/>
        <v>#REF!</v>
      </c>
    </row>
    <row r="41" spans="2:28" ht="25.5" customHeight="1">
      <c r="B41" s="172"/>
      <c r="C41" s="124" t="s">
        <v>172</v>
      </c>
      <c r="D41" s="122" t="s">
        <v>30</v>
      </c>
      <c r="E41" s="135" t="e">
        <f>#REF!*#REF!</f>
        <v>#REF!</v>
      </c>
      <c r="F41" s="135" t="e">
        <f>#REF!*#REF!</f>
        <v>#REF!</v>
      </c>
      <c r="G41" s="135" t="e">
        <f>#REF!*#REF!</f>
        <v>#REF!</v>
      </c>
      <c r="H41" s="135" t="e">
        <f>#REF!*#REF!</f>
        <v>#REF!</v>
      </c>
      <c r="I41" s="135" t="e">
        <f>#REF!*#REF!</f>
        <v>#REF!</v>
      </c>
      <c r="J41" s="136" t="e">
        <f t="shared" si="4"/>
        <v>#REF!</v>
      </c>
      <c r="K41" s="178"/>
      <c r="L41" s="179"/>
      <c r="M41" s="182"/>
      <c r="N41" s="182"/>
      <c r="O41" s="184"/>
      <c r="P41" s="170"/>
      <c r="Q41" s="171"/>
      <c r="W41" s="172"/>
      <c r="X41" s="124" t="s">
        <v>172</v>
      </c>
      <c r="Y41" s="122" t="s">
        <v>30</v>
      </c>
      <c r="Z41" s="136" t="e">
        <f t="shared" si="2"/>
        <v>#REF!</v>
      </c>
      <c r="AA41" s="148" t="e">
        <f>#REF!</f>
        <v>#REF!</v>
      </c>
      <c r="AB41" s="149" t="e">
        <f t="shared" si="5"/>
        <v>#REF!</v>
      </c>
    </row>
    <row r="42" spans="2:27" ht="12.75">
      <c r="B42" s="47"/>
      <c r="C42" s="47"/>
      <c r="D42" s="47"/>
      <c r="E42" s="48"/>
      <c r="F42" s="48"/>
      <c r="G42" s="48"/>
      <c r="H42" s="48"/>
      <c r="I42" s="48"/>
      <c r="J42" s="49"/>
      <c r="Z42" s="49"/>
      <c r="AA42" s="49"/>
    </row>
    <row r="43" spans="2:27" ht="31.5" customHeight="1">
      <c r="B43" s="50"/>
      <c r="C43" s="50"/>
      <c r="D43" s="50"/>
      <c r="E43" s="51"/>
      <c r="F43" s="51"/>
      <c r="G43" s="52"/>
      <c r="H43" s="53"/>
      <c r="I43" s="128" t="s">
        <v>222</v>
      </c>
      <c r="J43" s="139" t="e">
        <f>SUM(J7:J41)</f>
        <v>#REF!</v>
      </c>
      <c r="Z43" s="139" t="e">
        <f>SUM(Z7:Z41)</f>
        <v>#REF!</v>
      </c>
      <c r="AA43" s="147" t="e">
        <f>SUM(AA7:AA41)</f>
        <v>#REF!</v>
      </c>
    </row>
    <row r="44" ht="12.75">
      <c r="J44" s="104"/>
    </row>
  </sheetData>
  <sheetProtection/>
  <mergeCells count="53">
    <mergeCell ref="N7:N15"/>
    <mergeCell ref="W7:W15"/>
    <mergeCell ref="K11:K15"/>
    <mergeCell ref="L11:L15"/>
    <mergeCell ref="O11:O15"/>
    <mergeCell ref="P11:P15"/>
    <mergeCell ref="L18:L19"/>
    <mergeCell ref="M18:M22"/>
    <mergeCell ref="B7:B15"/>
    <mergeCell ref="K7:K8"/>
    <mergeCell ref="L7:L8"/>
    <mergeCell ref="M7:M15"/>
    <mergeCell ref="W18:W22"/>
    <mergeCell ref="X18:X19"/>
    <mergeCell ref="Q11:Q15"/>
    <mergeCell ref="B16:B17"/>
    <mergeCell ref="M16:M17"/>
    <mergeCell ref="N16:N17"/>
    <mergeCell ref="W16:W17"/>
    <mergeCell ref="B18:B22"/>
    <mergeCell ref="C18:C19"/>
    <mergeCell ref="K18:K19"/>
    <mergeCell ref="O20:O22"/>
    <mergeCell ref="P20:P22"/>
    <mergeCell ref="Q20:Q22"/>
    <mergeCell ref="N18:N22"/>
    <mergeCell ref="O18:O19"/>
    <mergeCell ref="P18:P19"/>
    <mergeCell ref="Q18:Q19"/>
    <mergeCell ref="B23:B25"/>
    <mergeCell ref="M23:M25"/>
    <mergeCell ref="N23:N25"/>
    <mergeCell ref="K20:K22"/>
    <mergeCell ref="L20:L22"/>
    <mergeCell ref="B28:B31"/>
    <mergeCell ref="W28:W31"/>
    <mergeCell ref="M29:M30"/>
    <mergeCell ref="N29:N30"/>
    <mergeCell ref="P29:P30"/>
    <mergeCell ref="M38:M41"/>
    <mergeCell ref="N38:N41"/>
    <mergeCell ref="O38:O41"/>
    <mergeCell ref="W23:W25"/>
    <mergeCell ref="P38:P41"/>
    <mergeCell ref="Q38:Q41"/>
    <mergeCell ref="W38:W41"/>
    <mergeCell ref="B32:B33"/>
    <mergeCell ref="W32:W33"/>
    <mergeCell ref="B34:B36"/>
    <mergeCell ref="W34:W36"/>
    <mergeCell ref="B38:B41"/>
    <mergeCell ref="K38:K41"/>
    <mergeCell ref="L38:L4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amicucci</dc:creator>
  <cp:keywords/>
  <dc:description/>
  <cp:lastModifiedBy>e.pizzoli-esterno</cp:lastModifiedBy>
  <cp:lastPrinted>2012-02-24T10:49:02Z</cp:lastPrinted>
  <dcterms:created xsi:type="dcterms:W3CDTF">2011-07-13T12:44:22Z</dcterms:created>
  <dcterms:modified xsi:type="dcterms:W3CDTF">2012-08-14T11:32:38Z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